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225" windowHeight="11640" activeTab="1"/>
  </bookViews>
  <sheets>
    <sheet name="Lambda des matériaux" sheetId="1" r:id="rId1"/>
    <sheet name="Synthèse" sheetId="2" r:id="rId2"/>
    <sheet name="Calculs" sheetId="3" r:id="rId3"/>
    <sheet name="Surfaces" sheetId="4" r:id="rId4"/>
    <sheet name="Prix des energies" sheetId="5" r:id="rId5"/>
    <sheet name="Old" sheetId="6" r:id="rId6"/>
  </sheets>
  <definedNames>
    <definedName name="_xlnm.Print_Area" localSheetId="1">'Synthèse'!$B$3:$I$50</definedName>
  </definedNames>
  <calcPr fullCalcOnLoad="1"/>
</workbook>
</file>

<file path=xl/comments2.xml><?xml version="1.0" encoding="utf-8"?>
<comments xmlns="http://schemas.openxmlformats.org/spreadsheetml/2006/main">
  <authors>
    <author>steph</author>
    <author>type</author>
  </authors>
  <commentList>
    <comment ref="E5" authorId="0">
      <text>
        <r>
          <rPr>
            <b/>
            <sz val="8"/>
            <rFont val="Tahoma"/>
            <family val="0"/>
          </rPr>
          <t>100 euro abonnement, 150 euro eau chaude sanitaire, 15% pertes chaudière</t>
        </r>
        <r>
          <rPr>
            <sz val="8"/>
            <rFont val="Tahoma"/>
            <family val="0"/>
          </rPr>
          <t xml:space="preserve">
</t>
        </r>
      </text>
    </comment>
    <comment ref="G22" authorId="1">
      <text>
        <r>
          <rPr>
            <b/>
            <sz val="8"/>
            <rFont val="Tahoma"/>
            <family val="0"/>
          </rPr>
          <t>laine de verre 20 cm = 4,5 euro m²</t>
        </r>
        <r>
          <rPr>
            <sz val="8"/>
            <rFont val="Tahoma"/>
            <family val="0"/>
          </rPr>
          <t xml:space="preserve">
</t>
        </r>
      </text>
    </comment>
    <comment ref="B23" authorId="1">
      <text>
        <r>
          <rPr>
            <b/>
            <sz val="8"/>
            <rFont val="Tahoma"/>
            <family val="0"/>
          </rPr>
          <t xml:space="preserve">tous les murs avec cave
gaine murs + pont thermiques
</t>
        </r>
        <r>
          <rPr>
            <sz val="8"/>
            <rFont val="Tahoma"/>
            <family val="0"/>
          </rPr>
          <t xml:space="preserve">
</t>
        </r>
      </text>
    </comment>
    <comment ref="H23" authorId="1">
      <text>
        <r>
          <rPr>
            <b/>
            <sz val="8"/>
            <rFont val="Tahoma"/>
            <family val="0"/>
          </rPr>
          <t xml:space="preserve">Credit d'impot 40% possible
</t>
        </r>
        <r>
          <rPr>
            <sz val="8"/>
            <rFont val="Tahoma"/>
            <family val="0"/>
          </rPr>
          <t xml:space="preserve">
</t>
        </r>
      </text>
    </comment>
    <comment ref="B28" authorId="1">
      <text>
        <r>
          <rPr>
            <b/>
            <sz val="8"/>
            <rFont val="Tahoma"/>
            <family val="0"/>
          </rPr>
          <t xml:space="preserve">gaine murs + pont thermiques
</t>
        </r>
        <r>
          <rPr>
            <sz val="8"/>
            <rFont val="Tahoma"/>
            <family val="0"/>
          </rPr>
          <t xml:space="preserve">
</t>
        </r>
      </text>
    </comment>
    <comment ref="G38" authorId="1">
      <text>
        <r>
          <rPr>
            <b/>
            <sz val="8"/>
            <rFont val="Tahoma"/>
            <family val="0"/>
          </rPr>
          <t>prix electricité tarif normal : 0,1085
HC 0,066
COP de 3,5 à 7 degrée = COP de 2 à zéro
degrée</t>
        </r>
        <r>
          <rPr>
            <sz val="8"/>
            <rFont val="Tahoma"/>
            <family val="0"/>
          </rPr>
          <t xml:space="preserve">
</t>
        </r>
      </text>
    </comment>
    <comment ref="G39" authorId="1">
      <text>
        <r>
          <rPr>
            <b/>
            <sz val="8"/>
            <rFont val="Tahoma"/>
            <family val="0"/>
          </rPr>
          <t>prix electricité tarif normal : 0,1085
HC 0,066
COP de 3,5 à 7 degrée = COP de 2 à zéro
degrée</t>
        </r>
        <r>
          <rPr>
            <sz val="8"/>
            <rFont val="Tahoma"/>
            <family val="0"/>
          </rPr>
          <t xml:space="preserve">
</t>
        </r>
      </text>
    </comment>
    <comment ref="B44" authorId="1">
      <text>
        <r>
          <rPr>
            <b/>
            <sz val="8"/>
            <rFont val="Tahoma"/>
            <family val="0"/>
          </rPr>
          <t>EN fonction du coût chauffage après isolation (G31) du rendement chaudière + coût energie</t>
        </r>
        <r>
          <rPr>
            <sz val="8"/>
            <rFont val="Tahoma"/>
            <family val="0"/>
          </rPr>
          <t xml:space="preserve">
</t>
        </r>
      </text>
    </comment>
    <comment ref="B48" authorId="1">
      <text>
        <r>
          <rPr>
            <b/>
            <sz val="8"/>
            <rFont val="Tahoma"/>
            <family val="0"/>
          </rPr>
          <t>ajouter surcout abonnement</t>
        </r>
        <r>
          <rPr>
            <sz val="8"/>
            <rFont val="Tahoma"/>
            <family val="0"/>
          </rPr>
          <t xml:space="preserve">
</t>
        </r>
      </text>
    </comment>
  </commentList>
</comments>
</file>

<file path=xl/comments3.xml><?xml version="1.0" encoding="utf-8"?>
<comments xmlns="http://schemas.openxmlformats.org/spreadsheetml/2006/main">
  <authors>
    <author>steph</author>
    <author>PADILLA</author>
    <author>type</author>
  </authors>
  <commentList>
    <comment ref="B14" authorId="0">
      <text>
        <r>
          <rPr>
            <b/>
            <sz val="8"/>
            <rFont val="Tahoma"/>
            <family val="0"/>
          </rPr>
          <t>Représente le nbr de mètre de pont thermique</t>
        </r>
        <r>
          <rPr>
            <sz val="8"/>
            <rFont val="Tahoma"/>
            <family val="0"/>
          </rPr>
          <t xml:space="preserve">
</t>
        </r>
      </text>
    </comment>
    <comment ref="G39" authorId="1">
      <text>
        <r>
          <rPr>
            <b/>
            <sz val="10"/>
            <rFont val="Tahoma"/>
            <family val="0"/>
          </rPr>
          <t xml:space="preserve">1cm platre murs
</t>
        </r>
        <r>
          <rPr>
            <sz val="10"/>
            <rFont val="Tahoma"/>
            <family val="0"/>
          </rPr>
          <t xml:space="preserve">
</t>
        </r>
      </text>
    </comment>
    <comment ref="F36" authorId="1">
      <text>
        <r>
          <rPr>
            <b/>
            <sz val="10"/>
            <rFont val="Tahoma"/>
            <family val="0"/>
          </rPr>
          <t>platre plafond</t>
        </r>
        <r>
          <rPr>
            <sz val="10"/>
            <rFont val="Tahoma"/>
            <family val="0"/>
          </rPr>
          <t xml:space="preserve">
</t>
        </r>
      </text>
    </comment>
    <comment ref="G36" authorId="1">
      <text>
        <r>
          <rPr>
            <sz val="10"/>
            <rFont val="Tahoma"/>
            <family val="0"/>
          </rPr>
          <t xml:space="preserve">dalle beton +  hourdi
</t>
        </r>
      </text>
    </comment>
    <comment ref="F39" authorId="1">
      <text>
        <r>
          <rPr>
            <b/>
            <sz val="10"/>
            <rFont val="Tahoma"/>
            <family val="0"/>
          </rPr>
          <t>parpaing 20 cm</t>
        </r>
        <r>
          <rPr>
            <sz val="10"/>
            <rFont val="Tahoma"/>
            <family val="0"/>
          </rPr>
          <t xml:space="preserve">
</t>
        </r>
      </text>
    </comment>
    <comment ref="E21" authorId="0">
      <text>
        <r>
          <rPr>
            <b/>
            <sz val="8"/>
            <rFont val="Tahoma"/>
            <family val="0"/>
          </rPr>
          <t>100 euro abonnement, 150 euro eau chaude sanitaire, 15% pertes chaudière</t>
        </r>
        <r>
          <rPr>
            <sz val="8"/>
            <rFont val="Tahoma"/>
            <family val="0"/>
          </rPr>
          <t xml:space="preserve">
</t>
        </r>
      </text>
    </comment>
    <comment ref="B13" authorId="0">
      <text>
        <r>
          <rPr>
            <b/>
            <sz val="8"/>
            <rFont val="Tahoma"/>
            <family val="0"/>
          </rPr>
          <t>Représente le nbr de mètre de pont thermique</t>
        </r>
        <r>
          <rPr>
            <sz val="8"/>
            <rFont val="Tahoma"/>
            <family val="0"/>
          </rPr>
          <t xml:space="preserve">
</t>
        </r>
      </text>
    </comment>
    <comment ref="H36" authorId="1">
      <text>
        <r>
          <rPr>
            <sz val="10"/>
            <rFont val="Tahoma"/>
            <family val="0"/>
          </rPr>
          <t xml:space="preserve">ancienne laine de roche 2 cm
</t>
        </r>
      </text>
    </comment>
    <comment ref="F38" authorId="1">
      <text>
        <r>
          <rPr>
            <b/>
            <sz val="10"/>
            <rFont val="Tahoma"/>
            <family val="0"/>
          </rPr>
          <t>beton + hourdi</t>
        </r>
        <r>
          <rPr>
            <sz val="10"/>
            <rFont val="Tahoma"/>
            <family val="0"/>
          </rPr>
          <t xml:space="preserve">
</t>
        </r>
      </text>
    </comment>
    <comment ref="B42" authorId="0">
      <text>
        <r>
          <rPr>
            <b/>
            <sz val="8"/>
            <rFont val="Tahoma"/>
            <family val="0"/>
          </rPr>
          <t>Représente le nbr de mètre de pont thermique</t>
        </r>
        <r>
          <rPr>
            <sz val="8"/>
            <rFont val="Tahoma"/>
            <family val="0"/>
          </rPr>
          <t xml:space="preserve">
</t>
        </r>
      </text>
    </comment>
    <comment ref="B43" authorId="0">
      <text>
        <r>
          <rPr>
            <b/>
            <sz val="8"/>
            <rFont val="Tahoma"/>
            <family val="0"/>
          </rPr>
          <t>Représente le nbr de mètre de pont thermique</t>
        </r>
        <r>
          <rPr>
            <sz val="8"/>
            <rFont val="Tahoma"/>
            <family val="0"/>
          </rPr>
          <t xml:space="preserve">
</t>
        </r>
      </text>
    </comment>
    <comment ref="J40" authorId="2">
      <text>
        <r>
          <rPr>
            <b/>
            <sz val="8"/>
            <rFont val="Tahoma"/>
            <family val="0"/>
          </rPr>
          <t>k = 1,4  double vitrage PVC</t>
        </r>
        <r>
          <rPr>
            <sz val="8"/>
            <rFont val="Tahoma"/>
            <family val="0"/>
          </rPr>
          <t xml:space="preserve">
</t>
        </r>
      </text>
    </comment>
    <comment ref="C42" authorId="2">
      <text>
        <r>
          <rPr>
            <b/>
            <sz val="8"/>
            <rFont val="Tahoma"/>
            <family val="0"/>
          </rPr>
          <t xml:space="preserve">deperditions linéiques représente 0,5 w/m/degrée
</t>
        </r>
        <r>
          <rPr>
            <sz val="8"/>
            <rFont val="Tahoma"/>
            <family val="0"/>
          </rPr>
          <t xml:space="preserve">
</t>
        </r>
      </text>
    </comment>
    <comment ref="F37" authorId="1">
      <text>
        <r>
          <rPr>
            <b/>
            <sz val="10"/>
            <rFont val="Tahoma"/>
            <family val="0"/>
          </rPr>
          <t>beton + hourdi</t>
        </r>
        <r>
          <rPr>
            <sz val="10"/>
            <rFont val="Tahoma"/>
            <family val="0"/>
          </rPr>
          <t xml:space="preserve">
</t>
        </r>
      </text>
    </comment>
    <comment ref="B16" authorId="0">
      <text>
        <r>
          <rPr>
            <b/>
            <sz val="8"/>
            <rFont val="Tahoma"/>
            <family val="0"/>
          </rPr>
          <t>Représente le nbr de mètre de pont thermique</t>
        </r>
        <r>
          <rPr>
            <sz val="8"/>
            <rFont val="Tahoma"/>
            <family val="0"/>
          </rPr>
          <t xml:space="preserve">
</t>
        </r>
      </text>
    </comment>
    <comment ref="G37" authorId="2">
      <text>
        <r>
          <rPr>
            <b/>
            <sz val="8"/>
            <rFont val="Tahoma"/>
            <family val="0"/>
          </rPr>
          <t>4cm de polystyrène</t>
        </r>
        <r>
          <rPr>
            <sz val="8"/>
            <rFont val="Tahoma"/>
            <family val="0"/>
          </rPr>
          <t xml:space="preserve">
</t>
        </r>
      </text>
    </comment>
  </commentList>
</comments>
</file>

<file path=xl/sharedStrings.xml><?xml version="1.0" encoding="utf-8"?>
<sst xmlns="http://schemas.openxmlformats.org/spreadsheetml/2006/main" count="381" uniqueCount="318">
  <si>
    <t>Bilan energetique de la maison</t>
  </si>
  <si>
    <t>Dépertdition = T(coef de réduction depend de la parois)*K (conductivité thermique du matériaux)*Surface</t>
  </si>
  <si>
    <t>Surface de fenêtres</t>
  </si>
  <si>
    <t>Surface de portes</t>
  </si>
  <si>
    <t>Surface de murs</t>
  </si>
  <si>
    <t>Plancher salon</t>
  </si>
  <si>
    <t>Plancher chambres</t>
  </si>
  <si>
    <t>Plafond chambres</t>
  </si>
  <si>
    <t>Pertes fenêtres</t>
  </si>
  <si>
    <t>Pertes portes</t>
  </si>
  <si>
    <t>Pertes plafond chambres</t>
  </si>
  <si>
    <t>Pertes murs</t>
  </si>
  <si>
    <t>Pertes linéiques plancher RDC + combles</t>
  </si>
  <si>
    <t>Pertes totales vers l'extérieur</t>
  </si>
  <si>
    <t>Pertes totales vers la cave</t>
  </si>
  <si>
    <t>Combles chauffés</t>
  </si>
  <si>
    <t>Surface toiture</t>
  </si>
  <si>
    <t>Pertes toiture</t>
  </si>
  <si>
    <t>Pertes linéiques plancher combles</t>
  </si>
  <si>
    <t>Pertes totales</t>
  </si>
  <si>
    <t>Cave</t>
  </si>
  <si>
    <t>Surface de murs libres</t>
  </si>
  <si>
    <t>Surface de murs enterrés</t>
  </si>
  <si>
    <t>Surface vers le sol</t>
  </si>
  <si>
    <t>Pertes murs libres</t>
  </si>
  <si>
    <t>Pertes murs enterrés</t>
  </si>
  <si>
    <t>Pertes vers le sol</t>
  </si>
  <si>
    <t>Pertes linéiques cave enterrée</t>
  </si>
  <si>
    <t>Pertes vers sol</t>
  </si>
  <si>
    <t>Pertes vers ext</t>
  </si>
  <si>
    <t>Surface plane vers l'ext libre</t>
  </si>
  <si>
    <t>Surface plane vers l'ext enterrée</t>
  </si>
  <si>
    <t>Surface plane vers l'intérieur</t>
  </si>
  <si>
    <t>Capacité therm. entre ext&amp;interm libre</t>
  </si>
  <si>
    <t>Capacité therm. entre ext&amp;interm enterrée</t>
  </si>
  <si>
    <t>Capacité therm. entre int&amp;interm</t>
  </si>
  <si>
    <t>Locaux intermédiaires (Cave)</t>
  </si>
  <si>
    <t>Rez de chaussée</t>
  </si>
  <si>
    <t>Surface</t>
  </si>
  <si>
    <t>Hauteur</t>
  </si>
  <si>
    <t>Chambre</t>
  </si>
  <si>
    <t>Bureau</t>
  </si>
  <si>
    <t>Combles</t>
  </si>
  <si>
    <t>Avancée de toit</t>
  </si>
  <si>
    <t>Volume maison</t>
  </si>
  <si>
    <t>m3</t>
  </si>
  <si>
    <r>
      <t>(m</t>
    </r>
    <r>
      <rPr>
        <vertAlign val="superscript"/>
        <sz val="12"/>
        <rFont val="Arial"/>
        <family val="2"/>
      </rPr>
      <t>2</t>
    </r>
    <r>
      <rPr>
        <sz val="12"/>
        <rFont val="Arial"/>
        <family val="0"/>
      </rPr>
      <t xml:space="preserve"> x m)</t>
    </r>
  </si>
  <si>
    <t>Poste de déperdition</t>
  </si>
  <si>
    <t>Résultat K</t>
  </si>
  <si>
    <t>Déperdition par volume d'air</t>
  </si>
  <si>
    <t>D=0,34NV</t>
  </si>
  <si>
    <t>Renouvellement N</t>
  </si>
  <si>
    <t>Calcul conductivité du murs</t>
  </si>
  <si>
    <t>1/K=Somme R+(1/Hj+1/He)</t>
  </si>
  <si>
    <t>(1/Hj+1/He)</t>
  </si>
  <si>
    <t>R total</t>
  </si>
  <si>
    <t>Coeff. T</t>
  </si>
  <si>
    <t>Déperdition par renouvelement d'air DBR : 0,34(Volume+(effet du vent?)*(différence de température??)</t>
  </si>
  <si>
    <t>Plafond</t>
  </si>
  <si>
    <t>Total</t>
  </si>
  <si>
    <t>DP Watt/°C</t>
  </si>
  <si>
    <t>Dp Watt/°C</t>
  </si>
  <si>
    <t>Caractéristique de la maison</t>
  </si>
  <si>
    <t>Surface du planchers</t>
  </si>
  <si>
    <t xml:space="preserve"> </t>
  </si>
  <si>
    <t>surface</t>
  </si>
  <si>
    <t>Coûts du poste en chauffage (euro)</t>
  </si>
  <si>
    <t>coût chauffage annuelle (euro)</t>
  </si>
  <si>
    <t>% Deperdition</t>
  </si>
  <si>
    <t>Détails</t>
  </si>
  <si>
    <t>R des différents Matériaux et épaisseurs</t>
  </si>
  <si>
    <t xml:space="preserve">Matériaux </t>
  </si>
  <si>
    <t>Conductivité thermique</t>
  </si>
  <si>
    <t>(W·m-1·K-1)</t>
  </si>
  <si>
    <t>Valeurs pour une température de 20 °C</t>
  </si>
  <si>
    <t xml:space="preserve">Diamant </t>
  </si>
  <si>
    <t>895-2300</t>
  </si>
  <si>
    <t xml:space="preserve">Argent </t>
  </si>
  <si>
    <t xml:space="preserve">Cuivre </t>
  </si>
  <si>
    <t xml:space="preserve">Or </t>
  </si>
  <si>
    <t xml:space="preserve">Aluminium (pureté de 99,9%) </t>
  </si>
  <si>
    <t xml:space="preserve">Al-SiC </t>
  </si>
  <si>
    <t>150-200</t>
  </si>
  <si>
    <t xml:space="preserve">Carbone </t>
  </si>
  <si>
    <t xml:space="preserve">Platine </t>
  </si>
  <si>
    <t xml:space="preserve">Etain </t>
  </si>
  <si>
    <t xml:space="preserve">Acier doux </t>
  </si>
  <si>
    <t xml:space="preserve">Acier inoxydable (18% Chrome, 8% Nickel) </t>
  </si>
  <si>
    <t xml:space="preserve">Silicon Nitride (Sialon) </t>
  </si>
  <si>
    <t>20-65</t>
  </si>
  <si>
    <t xml:space="preserve">Titane </t>
  </si>
  <si>
    <t xml:space="preserve">Quartz </t>
  </si>
  <si>
    <t>6,8-12</t>
  </si>
  <si>
    <t xml:space="preserve">Marbre </t>
  </si>
  <si>
    <t xml:space="preserve">Verre </t>
  </si>
  <si>
    <t xml:space="preserve">Béton </t>
  </si>
  <si>
    <t>1 à 2,1</t>
  </si>
  <si>
    <t xml:space="preserve">Mortier de chaux </t>
  </si>
  <si>
    <t xml:space="preserve">Terre (sèche) </t>
  </si>
  <si>
    <t xml:space="preserve">Eau </t>
  </si>
  <si>
    <t xml:space="preserve">Bois de pin (parallèle aux fibres) </t>
  </si>
  <si>
    <t xml:space="preserve">brique (terre cuite) </t>
  </si>
  <si>
    <t>0,3 à 0,96</t>
  </si>
  <si>
    <t xml:space="preserve">Adobe (terre crue) </t>
  </si>
  <si>
    <t xml:space="preserve">Bois de pin (perpendiculaire aux fibres) </t>
  </si>
  <si>
    <t xml:space="preserve">Dihydrogène (gaz) </t>
  </si>
  <si>
    <t>0.18</t>
  </si>
  <si>
    <t xml:space="preserve">Roseau (en panneau) </t>
  </si>
  <si>
    <t xml:space="preserve">Laine </t>
  </si>
  <si>
    <t xml:space="preserve">Liège </t>
  </si>
  <si>
    <t>0,04 à 0,05</t>
  </si>
  <si>
    <t xml:space="preserve">Laine de verre </t>
  </si>
  <si>
    <t xml:space="preserve">Polystyrène expansé </t>
  </si>
  <si>
    <t xml:space="preserve">Mousse de Polyuréthanne rigide </t>
  </si>
  <si>
    <t xml:space="preserve">Dioxygène (gaz) </t>
  </si>
  <si>
    <t xml:space="preserve">Air (100 kPa) </t>
  </si>
  <si>
    <t xml:space="preserve">Pouzzolane </t>
  </si>
  <si>
    <t xml:space="preserve">Schiste </t>
  </si>
  <si>
    <t xml:space="preserve">Ardoise </t>
  </si>
  <si>
    <t xml:space="preserve">type de vitrage  </t>
  </si>
  <si>
    <t xml:space="preserve">description  </t>
  </si>
  <si>
    <t xml:space="preserve">coefficient Ug (ou K) en W/m2°C  </t>
  </si>
  <si>
    <t xml:space="preserve">double vitrage standard </t>
  </si>
  <si>
    <t xml:space="preserve">4/12/4 ou 4/16/4, c’est à dire composé de deux verres de 4 mm séparés par une lame d’air de 12 ou 16 mm. Par rapport à un simple vitrage, les pertes de chaleur sont réduites de 40 %. </t>
  </si>
  <si>
    <t xml:space="preserve">double vitrage faiblement émissif </t>
  </si>
  <si>
    <t xml:space="preserve">Le double vitrage anti-émissivité comporte en face intérieure un revêtement spécial piégeant les rayonnements infra-rouges à l’intérieur de la pièce. Par rapport à un double vitrage standard, les pertes de chaleur sont réduites de plus de 30 %. Très courant en Allemagne, il le devient également en France. </t>
  </si>
  <si>
    <t xml:space="preserve">1,9 à 1,7 </t>
  </si>
  <si>
    <t xml:space="preserve">double vitrage faiblement émissif à lame argon </t>
  </si>
  <si>
    <t xml:space="preserve">Idem ci-dessus mais la lame d’air est remplacée par une lame d’argon, gaz inerte améliorant encore les performances d’isolation thermique </t>
  </si>
  <si>
    <t xml:space="preserve">1,5 à 1,3 </t>
  </si>
  <si>
    <t xml:space="preserve">double vitrage phonique </t>
  </si>
  <si>
    <t xml:space="preserve">Ce verre, d’épaisseur 4/8/10, présente un meilleur pouvoir d’isolation phonique que le double vitrage standard. Son pouvoir isolant est légèrement réduit. </t>
  </si>
  <si>
    <t xml:space="preserve">&gt; 2,85 </t>
  </si>
  <si>
    <t xml:space="preserve">double vitrage à redardateur d’effraction </t>
  </si>
  <si>
    <t xml:space="preserve">Ce vitrage 44.2/8/4 se brise plus difficilement que les vitrages standards. On les utilise pour des châssis fixes pour lesquels aucun volet n’est prévu ni de grille extérieure. </t>
  </si>
  <si>
    <t>&gt; 2,85</t>
  </si>
  <si>
    <t xml:space="preserve">Gain ou perte du vitrage en kWh/m²  </t>
  </si>
  <si>
    <t xml:space="preserve">Sud  </t>
  </si>
  <si>
    <t>Sud-Est ou</t>
  </si>
  <si>
    <t xml:space="preserve">Sud-ouest </t>
  </si>
  <si>
    <t xml:space="preserve">Est ou Ouest </t>
  </si>
  <si>
    <t>Nord</t>
  </si>
  <si>
    <t xml:space="preserve">Double Vitrage ordinaire </t>
  </si>
  <si>
    <t xml:space="preserve">Double Vitrage peu émissif </t>
  </si>
  <si>
    <t xml:space="preserve">Double Vitrage peu émissif + lame d’argon </t>
  </si>
  <si>
    <t>surface vitrage baies</t>
  </si>
  <si>
    <t>Déperdition linéique haut (en m)</t>
  </si>
  <si>
    <t>Déperdition linéique bas (en m)</t>
  </si>
  <si>
    <t>Situation initiale</t>
  </si>
  <si>
    <t>Plancher</t>
  </si>
  <si>
    <t>Surface des murs exterieurs beton</t>
  </si>
  <si>
    <t>Surface plafond</t>
  </si>
  <si>
    <t>Vitrage baies</t>
  </si>
  <si>
    <t xml:space="preserve">Déperdition linéique </t>
  </si>
  <si>
    <t>Volume de la maison (m3)</t>
  </si>
  <si>
    <t>Renouvellement d'air (1 volume par heure)</t>
  </si>
  <si>
    <t>Rendement de la chaudière (%)</t>
  </si>
  <si>
    <t>Coût eau chaude sanitaire (euro)</t>
  </si>
  <si>
    <t>pertes chaudières (euro)</t>
  </si>
  <si>
    <t>coût chauffage annuel (euro) :</t>
  </si>
  <si>
    <t>Isolation</t>
  </si>
  <si>
    <t>gain</t>
  </si>
  <si>
    <t>20 cm laine de verre sur dalle plafond</t>
  </si>
  <si>
    <t>Dp avant</t>
  </si>
  <si>
    <t>Dp après</t>
  </si>
  <si>
    <t>coût par watt gagnée</t>
  </si>
  <si>
    <t>coût\m²</t>
  </si>
  <si>
    <t>Isolation exterieur 10 cm polystyrène</t>
  </si>
  <si>
    <t>coût (euro)</t>
  </si>
  <si>
    <t>Travaux à réaliser</t>
  </si>
  <si>
    <t>%</t>
  </si>
  <si>
    <t>Gain coût chauffage</t>
  </si>
  <si>
    <t>Prix du Dp\watt chauffage</t>
  </si>
  <si>
    <t>Surface des murs exterieurs aglos</t>
  </si>
  <si>
    <t>surface vitrages</t>
  </si>
  <si>
    <t>fenêtres</t>
  </si>
  <si>
    <t>Surface plafond (m²)</t>
  </si>
  <si>
    <t>Murs exterieurs aglos</t>
  </si>
  <si>
    <t xml:space="preserve">Vitrages </t>
  </si>
  <si>
    <t>Surface du planchers garage isolé</t>
  </si>
  <si>
    <t>Surface du planchers non isolé</t>
  </si>
  <si>
    <t>faible car plancher bois</t>
  </si>
  <si>
    <t>vérifier uniquement aglos</t>
  </si>
  <si>
    <t>reste 2 cm laine de verre sous combles</t>
  </si>
  <si>
    <t>Déperdition tuyaux chauffage (10 m)</t>
  </si>
  <si>
    <t>Gain annuel coût chauffage (Euro)</t>
  </si>
  <si>
    <t>Gain Total</t>
  </si>
  <si>
    <t>coût chauffage annuel</t>
  </si>
  <si>
    <t xml:space="preserve">Changement syst. chauffage </t>
  </si>
  <si>
    <t>fioul</t>
  </si>
  <si>
    <t>gaz</t>
  </si>
  <si>
    <t>Prix Kw (euro)</t>
  </si>
  <si>
    <t>Prix TTC, Hors amortissement de l'installation.</t>
  </si>
  <si>
    <t>Source ADEME et divers (actualisé en juin 2007)</t>
  </si>
  <si>
    <t>de 2004 à 2006 la crise pétrolière a fait augmenter de façon considérable le prix du fioul et du gaz !</t>
  </si>
  <si>
    <t>A chaque fois que nous avons l'information, nous indiquons aussi le prix à la tonne ou au m3 des sources d'énergie.</t>
  </si>
  <si>
    <r>
      <t xml:space="preserve">Le coût réel </t>
    </r>
    <r>
      <rPr>
        <sz val="10"/>
        <rFont val="Arial"/>
        <family val="0"/>
      </rPr>
      <t xml:space="preserve">est une péréquation entre le prix de la source d'énergie ramené au kW et le rendement du dispositif de chauffage à laquelle il convient d'ajouter les frais fixes (abonnements spécifiques) : </t>
    </r>
  </si>
  <si>
    <t>- coût de l'abonnement annuel  EDF 12 kVA double tarification = 274 €,</t>
  </si>
  <si>
    <t>- 12 kVA simple tarif  = 61 €.</t>
  </si>
  <si>
    <t>Mais l'abonnement de base étant de toute façon utilisé aussi pour les autres postes de consommation électrique, il convient de prendre seulement en compte les surcoûts d'abonnement. (double tarif - augmentation de puissance...)</t>
  </si>
  <si>
    <t>Daniel fait remarquer à juste titre que cet écart de 213 € correspond à environ 4800 kWh de granulés de bois ou 8520 kWh de bois.</t>
  </si>
  <si>
    <r>
      <t xml:space="preserve">Solaire </t>
    </r>
    <r>
      <rPr>
        <sz val="10"/>
        <rFont val="Arial"/>
        <family val="0"/>
      </rPr>
      <t>0 €</t>
    </r>
  </si>
  <si>
    <t>Prix au kW négligeable pour la partie solaire,</t>
  </si>
  <si>
    <t>rendement global : 1</t>
  </si>
  <si>
    <t xml:space="preserve">Prix du chauffage d'appoint dépendant du choix de celui-ci ! </t>
  </si>
  <si>
    <t>Pompe à chaleur air/air simple tarif</t>
  </si>
  <si>
    <t>0,11 €/ kW</t>
  </si>
  <si>
    <t>rendement global : 3,19</t>
  </si>
  <si>
    <t>Coût réel : 0,034 €/ kW</t>
  </si>
  <si>
    <t>Pompe à chaleur eau/eau simple tarif</t>
  </si>
  <si>
    <t>rendement global : 2,23</t>
  </si>
  <si>
    <t>Coût réel : 0,049 €/ kW</t>
  </si>
  <si>
    <t>Chaudière à Bois déchiqueté</t>
  </si>
  <si>
    <t>0,03 €/ kW</t>
  </si>
  <si>
    <t>46 € /tonne</t>
  </si>
  <si>
    <t>pouvoir calorifique : 3500 kWh /tonne.</t>
  </si>
  <si>
    <t>rendement global : 0,71</t>
  </si>
  <si>
    <t>Coût réel : 0,042 €/ kW</t>
  </si>
  <si>
    <t>Chaudière à Plaquettes de Bois</t>
  </si>
  <si>
    <t>0,033 €/ kW</t>
  </si>
  <si>
    <t>19 € le m3</t>
  </si>
  <si>
    <t>équivalence : 92 litres de fioul</t>
  </si>
  <si>
    <t>Coût réel : 0,046 €/ kW</t>
  </si>
  <si>
    <t>Avoine de chauffage</t>
  </si>
  <si>
    <t>0,012 €/ kW sur jachère</t>
  </si>
  <si>
    <t>80 € / tonne</t>
  </si>
  <si>
    <t>rendement global : 0,60</t>
  </si>
  <si>
    <t>Coût réel : 0,02 €/ kW</t>
  </si>
  <si>
    <t>Blé de chauffage</t>
  </si>
  <si>
    <t>0,015 €/ kW sur jachère</t>
  </si>
  <si>
    <t>108 € / tonne</t>
  </si>
  <si>
    <t>Coût réel : 0,025 €/ kW</t>
  </si>
  <si>
    <t>Granulés de bois en vrac</t>
  </si>
  <si>
    <t>0,045 €/ kW</t>
  </si>
  <si>
    <t>200 € la tonne (129 €/ tonne en 2002)</t>
  </si>
  <si>
    <t>pouvoir calorifique : 3500 kWh / tonne</t>
  </si>
  <si>
    <t>équivalence : 454 litres de fioul.</t>
  </si>
  <si>
    <t>Coût réel : 0,063 €/ kW</t>
  </si>
  <si>
    <t>Insert Bois</t>
  </si>
  <si>
    <t>0,025 €/ kW</t>
  </si>
  <si>
    <t>36 à 40 €/ stère pour du quartier de hêtre ou de chêne, en 50 cm.</t>
  </si>
  <si>
    <t>rendement global : 0,6</t>
  </si>
  <si>
    <t>Coût réel : 0,041 €/ kW</t>
  </si>
  <si>
    <t>Chaudière à Gaz à condensation sur plancher chauffant</t>
  </si>
  <si>
    <t>0,056 €/ kW</t>
  </si>
  <si>
    <t>pour une consommation de : 22000 kWh PVS par an.</t>
  </si>
  <si>
    <t>Tarif B1, niveau 4</t>
  </si>
  <si>
    <t>rendement global : 0,95</t>
  </si>
  <si>
    <t>Coût réel : 0,058 €/ kW</t>
  </si>
  <si>
    <t>Cheminée ouverte avec récupérateur</t>
  </si>
  <si>
    <t>rendement global : 0,25</t>
  </si>
  <si>
    <t>Coût réel : 0,10 €/ kW</t>
  </si>
  <si>
    <t>Chaudière à Gaz naturel</t>
  </si>
  <si>
    <t xml:space="preserve">rendement global : 0,81 </t>
  </si>
  <si>
    <t>Coût réel : 0,069 €/ kW</t>
  </si>
  <si>
    <t>Fioul domestique</t>
  </si>
  <si>
    <t>0,0615 €/ kW</t>
  </si>
  <si>
    <t>(0,63 €/ litre (0,39 €/ litre en 2002 - 0,48 € en 2005)</t>
  </si>
  <si>
    <t>pour : 2000 à 5000 litres.</t>
  </si>
  <si>
    <t>rendement global : 0,81</t>
  </si>
  <si>
    <t>Coût réel : 0,076 €/ kW</t>
  </si>
  <si>
    <t>Granulés de bois en sac</t>
  </si>
  <si>
    <t>0,04 €/ kW</t>
  </si>
  <si>
    <t>260 €/ tonne</t>
  </si>
  <si>
    <t>pouvoir calorifique : 3500 kWh / tonne.</t>
  </si>
  <si>
    <t>Coût réel : 0,056 €/ kW</t>
  </si>
  <si>
    <r>
      <t xml:space="preserve">Charbon en boulets </t>
    </r>
    <r>
      <rPr>
        <sz val="10"/>
        <rFont val="Arial"/>
        <family val="0"/>
      </rPr>
      <t>(catégorie 9% de cendres)</t>
    </r>
  </si>
  <si>
    <t>0,054 €/ kW</t>
  </si>
  <si>
    <t>0,47 €/ kg</t>
  </si>
  <si>
    <t>pouvoir calorifique : 8,73 kWh / kg.</t>
  </si>
  <si>
    <t>rendement global : 0,75</t>
  </si>
  <si>
    <t>Coût réel : 0,072 €/ kW</t>
  </si>
  <si>
    <t>Cheminée ouverte sans récupérateur</t>
  </si>
  <si>
    <t>36 à 42 €/ stère pour du quartier de hêtre ou de chêne, en 50 cm.</t>
  </si>
  <si>
    <t>rendement global : 0,15</t>
  </si>
  <si>
    <t>Coût réel : 0,17 €/ kW</t>
  </si>
  <si>
    <t>Plancher chauffant électrique (double tarif)</t>
  </si>
  <si>
    <t>0,09 €/ kW</t>
  </si>
  <si>
    <t>rendement global : 0,94</t>
  </si>
  <si>
    <t>Panneaux radiants électriques (double tarif)</t>
  </si>
  <si>
    <t>rendement global : 0,91</t>
  </si>
  <si>
    <t>Coût réel : 0,096 €/ kW</t>
  </si>
  <si>
    <t>Chaudière à Gaz propane</t>
  </si>
  <si>
    <t>0,0969 €/ kW</t>
  </si>
  <si>
    <t>1,10 €/ kg</t>
  </si>
  <si>
    <t>Tarif pour moins de 2 tonnes - Cuve louée.</t>
  </si>
  <si>
    <t>Coût réel : 0,119 €/ kW</t>
  </si>
  <si>
    <t>Convecteur électrique (double tarif)</t>
  </si>
  <si>
    <t>Pour 12 kVA</t>
  </si>
  <si>
    <t>En compteur double tarif : 12000 kVA par an dont 5000 kVA en heures creuses.</t>
  </si>
  <si>
    <t>rendement global : 0,89</t>
  </si>
  <si>
    <t>Convecteur électrique (simple tarif)</t>
  </si>
  <si>
    <t>Coût réel : 0,123 €/ kW</t>
  </si>
  <si>
    <r>
      <t>A ces prix doivent être ajoutés les</t>
    </r>
    <r>
      <rPr>
        <b/>
        <sz val="10"/>
        <rFont val="Arial"/>
        <family val="0"/>
      </rPr>
      <t xml:space="preserve"> frais fixes et d'entretien</t>
    </r>
    <r>
      <rPr>
        <sz val="10"/>
        <rFont val="Arial"/>
        <family val="0"/>
      </rPr>
      <t>, qui vont de :</t>
    </r>
  </si>
  <si>
    <t>- 76 €/ an pour les cheminées et inserts,</t>
  </si>
  <si>
    <t>- à 291 €/ an pour les pompes à chaleur...</t>
  </si>
  <si>
    <t>Mais dont la moyenne oscille autour de 200 €/ an.</t>
  </si>
  <si>
    <t>Diagnostic de la performance énergétique ou DPE</t>
  </si>
  <si>
    <t>Dès maintenant, un diagnostic de performance énergétique devra être établi lors de la vente d'un logement existant. L'objectif est de contribuer aux économies d'énergie et de réduire les émissions de gaz à effet de serre.</t>
  </si>
  <si>
    <t>Ce diagnostic est un document qui comprend la quantité d'énergie effectivement consommée ou estimée pour une utilisation standardisée du logement. Vous trouverez des informations sur le DPE, ainsi qu'un simulateur de Performance Énergétique sur la page : La performance énergétique du bâtiment.</t>
  </si>
  <si>
    <t>Il n'y a pas que le chauffage !</t>
  </si>
  <si>
    <t xml:space="preserve">Pompe à chaleur COP réel 2,5 </t>
  </si>
  <si>
    <t xml:space="preserve">Pompe à chaleur heure creuse </t>
  </si>
  <si>
    <t>gaz chaudière à condensation</t>
  </si>
  <si>
    <t>gain(%)\fioul</t>
  </si>
  <si>
    <t>rendement ancienne chaudière (%)</t>
  </si>
  <si>
    <t>Rendement chaudière condensation (%)</t>
  </si>
  <si>
    <t>estimation coût chauffage annuel après isolation (euro)</t>
  </si>
  <si>
    <t xml:space="preserve">Pompe à chaleur </t>
  </si>
  <si>
    <t>Pompe à chaleur heure creuse</t>
  </si>
  <si>
    <t>Rendement chaudière basse température (%)</t>
  </si>
  <si>
    <t>Rendement pompes à chaleur (%)</t>
  </si>
  <si>
    <t>Chaudière granulé bois</t>
  </si>
  <si>
    <t>Rendement Chaudière bois (%)</t>
  </si>
  <si>
    <t>estimation coût chauffage annuel sans isolation (euro)</t>
  </si>
  <si>
    <t>évolution</t>
  </si>
  <si>
    <t>évolution (%)</t>
  </si>
  <si>
    <t>Sans isolation extérieur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</si>
</sst>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000"/>
    <numFmt numFmtId="167" formatCode="&quot;Vrai&quot;;&quot;Vrai&quot;;&quot;Faux&quot;"/>
    <numFmt numFmtId="168" formatCode="&quot;Actif&quot;;&quot;Actif&quot;;&quot;Inactif&quot;"/>
    <numFmt numFmtId="169" formatCode="0.0"/>
    <numFmt numFmtId="170" formatCode="0.0000000"/>
  </numFmts>
  <fonts count="17">
    <font>
      <sz val="10"/>
      <name val="Arial"/>
      <family val="0"/>
    </font>
    <font>
      <sz val="12"/>
      <name val="Arial"/>
      <family val="0"/>
    </font>
    <font>
      <b/>
      <u val="single"/>
      <sz val="12"/>
      <name val="Arial"/>
      <family val="2"/>
    </font>
    <font>
      <b/>
      <sz val="10"/>
      <name val="Arial"/>
      <family val="2"/>
    </font>
    <font>
      <i/>
      <sz val="12"/>
      <name val="Arial"/>
      <family val="2"/>
    </font>
    <font>
      <vertAlign val="superscript"/>
      <sz val="12"/>
      <name val="Arial"/>
      <family val="2"/>
    </font>
    <font>
      <b/>
      <sz val="16"/>
      <name val="Arial"/>
      <family val="2"/>
    </font>
    <font>
      <sz val="10"/>
      <name val="Tahoma"/>
      <family val="0"/>
    </font>
    <font>
      <b/>
      <sz val="10"/>
      <name val="Tahoma"/>
      <family val="0"/>
    </font>
    <font>
      <b/>
      <sz val="10"/>
      <color indexed="10"/>
      <name val="Arial"/>
      <family val="2"/>
    </font>
    <font>
      <sz val="8"/>
      <name val="Tahoma"/>
      <family val="0"/>
    </font>
    <font>
      <b/>
      <sz val="8"/>
      <name val="Tahoma"/>
      <family val="0"/>
    </font>
    <font>
      <sz val="10"/>
      <color indexed="10"/>
      <name val="Arial"/>
      <family val="2"/>
    </font>
    <font>
      <b/>
      <sz val="12"/>
      <color indexed="12"/>
      <name val="Arial"/>
      <family val="2"/>
    </font>
    <font>
      <u val="single"/>
      <sz val="10"/>
      <color indexed="12"/>
      <name val="Arial"/>
      <family val="0"/>
    </font>
    <font>
      <b/>
      <sz val="16"/>
      <color indexed="12"/>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51"/>
        <bgColor indexed="64"/>
      </patternFill>
    </fill>
  </fills>
  <borders count="51">
    <border>
      <left/>
      <right/>
      <top/>
      <bottom/>
      <diagonal/>
    </border>
    <border>
      <left style="hair"/>
      <right style="hair"/>
      <top style="hair"/>
      <bottom style="hair"/>
    </border>
    <border>
      <left style="hair"/>
      <right style="hair"/>
      <top>
        <color indexed="63"/>
      </top>
      <bottom style="hair"/>
    </border>
    <border>
      <left style="medium"/>
      <right style="thin"/>
      <top style="thin"/>
      <bottom style="thin"/>
    </border>
    <border>
      <left style="thin"/>
      <right style="thin"/>
      <top style="medium"/>
      <bottom style="thin"/>
    </border>
    <border>
      <left style="thin"/>
      <right style="thin"/>
      <top style="thin"/>
      <bottom style="thin"/>
    </border>
    <border>
      <left style="medium"/>
      <right style="medium"/>
      <top style="medium"/>
      <bottom style="medium"/>
    </border>
    <border>
      <left style="medium"/>
      <right style="thin"/>
      <top style="thin"/>
      <bottom style="medium"/>
    </border>
    <border>
      <left style="medium"/>
      <right style="thin"/>
      <top style="medium"/>
      <bottom style="thin"/>
    </border>
    <border>
      <left style="thin"/>
      <right style="medium"/>
      <top style="medium"/>
      <bottom style="medium"/>
    </border>
    <border>
      <left>
        <color indexed="63"/>
      </left>
      <right style="medium"/>
      <top>
        <color indexed="63"/>
      </top>
      <bottom>
        <color indexed="63"/>
      </bottom>
    </border>
    <border>
      <left style="medium"/>
      <right style="thin"/>
      <top>
        <color indexed="63"/>
      </top>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thin"/>
      <right style="medium"/>
      <top>
        <color indexed="63"/>
      </top>
      <bottom style="thin"/>
    </border>
    <border>
      <left style="thin"/>
      <right style="medium"/>
      <top style="thin"/>
      <bottom style="medium"/>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thin"/>
    </border>
    <border>
      <left style="medium"/>
      <right style="medium"/>
      <top style="thin"/>
      <bottom style="thin"/>
    </border>
    <border>
      <left>
        <color indexed="63"/>
      </left>
      <right>
        <color indexed="63"/>
      </right>
      <top style="thin"/>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style="medium"/>
      <right>
        <color indexed="63"/>
      </right>
      <top style="medium"/>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1" xfId="0" applyFont="1" applyBorder="1" applyAlignment="1">
      <alignment/>
    </xf>
    <xf numFmtId="0" fontId="1" fillId="0" borderId="0" xfId="0" applyFont="1" applyAlignment="1">
      <alignment/>
    </xf>
    <xf numFmtId="0" fontId="1" fillId="0" borderId="1" xfId="0" applyFont="1" applyBorder="1" applyAlignment="1">
      <alignment/>
    </xf>
    <xf numFmtId="0" fontId="2" fillId="0" borderId="0" xfId="0" applyFont="1" applyAlignment="1">
      <alignment/>
    </xf>
    <xf numFmtId="2" fontId="0" fillId="0" borderId="0" xfId="0" applyNumberFormat="1" applyAlignment="1">
      <alignment/>
    </xf>
    <xf numFmtId="0" fontId="3" fillId="0" borderId="0" xfId="0" applyFont="1" applyAlignment="1">
      <alignment/>
    </xf>
    <xf numFmtId="0" fontId="4" fillId="0" borderId="1" xfId="0" applyFont="1" applyBorder="1" applyAlignment="1">
      <alignment horizontal="center"/>
    </xf>
    <xf numFmtId="0" fontId="1" fillId="0" borderId="0" xfId="0" applyFont="1" applyAlignment="1">
      <alignment horizontal="left"/>
    </xf>
    <xf numFmtId="0" fontId="1" fillId="2" borderId="2" xfId="0" applyFont="1" applyFill="1" applyBorder="1" applyAlignment="1">
      <alignment/>
    </xf>
    <xf numFmtId="0" fontId="1" fillId="0" borderId="0" xfId="0" applyFont="1" applyAlignment="1">
      <alignment horizontal="center"/>
    </xf>
    <xf numFmtId="0" fontId="1" fillId="2" borderId="1" xfId="0" applyFont="1" applyFill="1" applyBorder="1" applyAlignment="1">
      <alignment/>
    </xf>
    <xf numFmtId="0" fontId="1" fillId="2" borderId="1" xfId="0" applyFont="1" applyFill="1" applyBorder="1" applyAlignment="1">
      <alignment/>
    </xf>
    <xf numFmtId="0" fontId="1" fillId="3" borderId="1" xfId="0" applyFont="1" applyFill="1" applyBorder="1" applyAlignment="1">
      <alignment horizontal="right"/>
    </xf>
    <xf numFmtId="0" fontId="1" fillId="0" borderId="0" xfId="0" applyFont="1" applyAlignment="1">
      <alignment horizontal="center"/>
    </xf>
    <xf numFmtId="2" fontId="3" fillId="0" borderId="0" xfId="0" applyNumberFormat="1" applyFont="1" applyAlignment="1">
      <alignment/>
    </xf>
    <xf numFmtId="0" fontId="6"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xf>
    <xf numFmtId="0" fontId="0" fillId="0" borderId="0" xfId="0" applyFont="1" applyFill="1" applyAlignment="1">
      <alignment/>
    </xf>
    <xf numFmtId="2" fontId="3" fillId="0" borderId="0" xfId="0" applyNumberFormat="1" applyFont="1" applyAlignment="1">
      <alignment horizontal="center"/>
    </xf>
    <xf numFmtId="2" fontId="0" fillId="0" borderId="0" xfId="0" applyNumberFormat="1" applyFont="1" applyFill="1" applyAlignment="1">
      <alignment/>
    </xf>
    <xf numFmtId="0" fontId="3" fillId="0" borderId="3" xfId="0" applyFont="1" applyBorder="1" applyAlignment="1">
      <alignment/>
    </xf>
    <xf numFmtId="2" fontId="3" fillId="3" borderId="4" xfId="0" applyNumberFormat="1" applyFont="1" applyFill="1" applyBorder="1" applyAlignment="1">
      <alignment horizontal="center"/>
    </xf>
    <xf numFmtId="2" fontId="3" fillId="4" borderId="4" xfId="0" applyNumberFormat="1" applyFont="1" applyFill="1" applyBorder="1" applyAlignment="1">
      <alignment horizontal="center"/>
    </xf>
    <xf numFmtId="1" fontId="0" fillId="0" borderId="0" xfId="0" applyNumberFormat="1" applyAlignment="1">
      <alignment/>
    </xf>
    <xf numFmtId="0" fontId="0" fillId="0" borderId="0" xfId="0" applyFont="1" applyAlignment="1">
      <alignment horizontal="center"/>
    </xf>
    <xf numFmtId="165" fontId="0" fillId="0" borderId="0" xfId="0" applyNumberFormat="1" applyAlignment="1">
      <alignment/>
    </xf>
    <xf numFmtId="165" fontId="3" fillId="0" borderId="0" xfId="0" applyNumberFormat="1" applyFont="1" applyAlignment="1">
      <alignment horizontal="center"/>
    </xf>
    <xf numFmtId="0" fontId="0" fillId="0" borderId="0" xfId="0" applyFont="1" applyAlignment="1">
      <alignment horizontal="right"/>
    </xf>
    <xf numFmtId="2" fontId="3" fillId="0" borderId="0" xfId="0" applyNumberFormat="1" applyFont="1" applyFill="1" applyBorder="1" applyAlignment="1">
      <alignment horizontal="center"/>
    </xf>
    <xf numFmtId="2" fontId="3" fillId="0" borderId="0" xfId="0" applyNumberFormat="1" applyFont="1" applyFill="1" applyBorder="1" applyAlignment="1">
      <alignment/>
    </xf>
    <xf numFmtId="2" fontId="0" fillId="0" borderId="0" xfId="0" applyNumberFormat="1" applyFill="1" applyBorder="1" applyAlignment="1">
      <alignment/>
    </xf>
    <xf numFmtId="2" fontId="3" fillId="4" borderId="5" xfId="0" applyNumberFormat="1" applyFont="1" applyFill="1" applyBorder="1" applyAlignment="1">
      <alignment horizontal="center"/>
    </xf>
    <xf numFmtId="0" fontId="12" fillId="5" borderId="6" xfId="0" applyFont="1" applyFill="1" applyBorder="1" applyAlignment="1">
      <alignment horizontal="center"/>
    </xf>
    <xf numFmtId="0" fontId="3" fillId="0" borderId="7" xfId="0" applyFont="1" applyBorder="1" applyAlignment="1">
      <alignment/>
    </xf>
    <xf numFmtId="2" fontId="13" fillId="0" borderId="0" xfId="0" applyNumberFormat="1" applyFont="1" applyAlignment="1">
      <alignment/>
    </xf>
    <xf numFmtId="0" fontId="0" fillId="0" borderId="0" xfId="0" applyFont="1" applyBorder="1" applyAlignment="1">
      <alignment/>
    </xf>
    <xf numFmtId="2" fontId="3" fillId="0" borderId="8" xfId="0" applyNumberFormat="1" applyFont="1" applyBorder="1" applyAlignment="1">
      <alignment/>
    </xf>
    <xf numFmtId="2" fontId="3" fillId="0" borderId="3" xfId="0" applyNumberFormat="1" applyFont="1" applyBorder="1" applyAlignment="1">
      <alignment/>
    </xf>
    <xf numFmtId="1" fontId="3" fillId="3" borderId="5" xfId="0" applyNumberFormat="1" applyFont="1" applyFill="1" applyBorder="1" applyAlignment="1">
      <alignment horizontal="center"/>
    </xf>
    <xf numFmtId="169" fontId="0" fillId="0" borderId="0" xfId="0" applyNumberFormat="1" applyFont="1" applyAlignment="1">
      <alignment horizontal="right"/>
    </xf>
    <xf numFmtId="0" fontId="0" fillId="0" borderId="0" xfId="0" applyFill="1" applyBorder="1" applyAlignment="1">
      <alignment/>
    </xf>
    <xf numFmtId="169" fontId="0" fillId="0" borderId="0" xfId="0" applyNumberFormat="1" applyAlignment="1">
      <alignment/>
    </xf>
    <xf numFmtId="0" fontId="9" fillId="5" borderId="7" xfId="0" applyFont="1" applyFill="1" applyBorder="1" applyAlignment="1">
      <alignment horizontal="center"/>
    </xf>
    <xf numFmtId="1" fontId="9" fillId="5" borderId="9" xfId="0" applyNumberFormat="1" applyFont="1" applyFill="1" applyBorder="1" applyAlignment="1">
      <alignment horizontal="center"/>
    </xf>
    <xf numFmtId="1" fontId="3" fillId="4" borderId="0" xfId="0" applyNumberFormat="1" applyFont="1" applyFill="1" applyBorder="1" applyAlignment="1">
      <alignment horizontal="center"/>
    </xf>
    <xf numFmtId="1" fontId="3" fillId="4" borderId="10" xfId="0" applyNumberFormat="1" applyFont="1" applyFill="1" applyBorder="1" applyAlignment="1">
      <alignment horizontal="center"/>
    </xf>
    <xf numFmtId="0" fontId="3" fillId="0" borderId="11" xfId="0" applyFont="1" applyBorder="1" applyAlignment="1">
      <alignment/>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9" fillId="6" borderId="12" xfId="0" applyFont="1" applyFill="1" applyBorder="1" applyAlignment="1">
      <alignment horizontal="center"/>
    </xf>
    <xf numFmtId="1" fontId="9" fillId="6" borderId="9" xfId="0" applyNumberFormat="1" applyFont="1" applyFill="1" applyBorder="1" applyAlignment="1">
      <alignment horizontal="center"/>
    </xf>
    <xf numFmtId="2" fontId="0" fillId="0" borderId="0" xfId="0" applyNumberFormat="1" applyAlignment="1">
      <alignment horizontal="center"/>
    </xf>
    <xf numFmtId="0" fontId="3" fillId="0" borderId="12" xfId="0" applyFont="1" applyBorder="1" applyAlignment="1">
      <alignment/>
    </xf>
    <xf numFmtId="2" fontId="3" fillId="0" borderId="13" xfId="0" applyNumberFormat="1" applyFont="1" applyBorder="1" applyAlignment="1">
      <alignment horizontal="center"/>
    </xf>
    <xf numFmtId="1" fontId="9" fillId="6" borderId="14" xfId="0" applyNumberFormat="1" applyFont="1" applyFill="1" applyBorder="1" applyAlignment="1">
      <alignment horizontal="center"/>
    </xf>
    <xf numFmtId="2" fontId="0" fillId="0" borderId="15" xfId="0" applyNumberFormat="1" applyBorder="1" applyAlignment="1">
      <alignment horizontal="center"/>
    </xf>
    <xf numFmtId="2" fontId="13" fillId="0" borderId="8" xfId="0" applyNumberFormat="1" applyFont="1" applyBorder="1" applyAlignment="1">
      <alignment horizontal="center"/>
    </xf>
    <xf numFmtId="0" fontId="3" fillId="0" borderId="3" xfId="0" applyFont="1" applyBorder="1" applyAlignment="1">
      <alignment horizontal="left"/>
    </xf>
    <xf numFmtId="169" fontId="3" fillId="4" borderId="5" xfId="0" applyNumberFormat="1" applyFont="1" applyFill="1" applyBorder="1" applyAlignment="1">
      <alignment horizontal="center"/>
    </xf>
    <xf numFmtId="1" fontId="0" fillId="0" borderId="16" xfId="0" applyNumberFormat="1" applyBorder="1" applyAlignment="1">
      <alignment horizontal="center"/>
    </xf>
    <xf numFmtId="1" fontId="0" fillId="4" borderId="16" xfId="0" applyNumberFormat="1" applyFill="1" applyBorder="1" applyAlignment="1">
      <alignment horizontal="center"/>
    </xf>
    <xf numFmtId="169" fontId="0" fillId="0" borderId="16" xfId="0" applyNumberFormat="1" applyBorder="1" applyAlignment="1">
      <alignment horizontal="center"/>
    </xf>
    <xf numFmtId="0" fontId="3" fillId="0" borderId="7" xfId="0" applyFont="1" applyBorder="1" applyAlignment="1">
      <alignment horizontal="left"/>
    </xf>
    <xf numFmtId="0" fontId="3" fillId="0" borderId="17" xfId="0" applyFont="1" applyBorder="1" applyAlignment="1">
      <alignment horizontal="left"/>
    </xf>
    <xf numFmtId="1" fontId="0" fillId="0" borderId="18" xfId="0" applyNumberFormat="1" applyBorder="1" applyAlignment="1">
      <alignment horizontal="center"/>
    </xf>
    <xf numFmtId="1" fontId="0" fillId="4" borderId="18" xfId="0" applyNumberFormat="1" applyFill="1" applyBorder="1" applyAlignment="1">
      <alignment horizontal="center"/>
    </xf>
    <xf numFmtId="169" fontId="0" fillId="0" borderId="18" xfId="0" applyNumberFormat="1" applyBorder="1" applyAlignment="1">
      <alignment horizontal="center"/>
    </xf>
    <xf numFmtId="2" fontId="3" fillId="0" borderId="19" xfId="0" applyNumberFormat="1" applyFont="1" applyBorder="1" applyAlignment="1">
      <alignment horizontal="center"/>
    </xf>
    <xf numFmtId="2" fontId="3" fillId="4" borderId="19" xfId="0" applyNumberFormat="1" applyFont="1" applyFill="1" applyBorder="1" applyAlignment="1">
      <alignment horizontal="center"/>
    </xf>
    <xf numFmtId="1" fontId="3" fillId="3" borderId="20" xfId="0" applyNumberFormat="1" applyFont="1" applyFill="1" applyBorder="1" applyAlignment="1">
      <alignment horizontal="center"/>
    </xf>
    <xf numFmtId="169" fontId="3" fillId="4" borderId="20" xfId="0" applyNumberFormat="1" applyFont="1" applyFill="1" applyBorder="1" applyAlignment="1">
      <alignment horizontal="center"/>
    </xf>
    <xf numFmtId="0" fontId="9" fillId="5" borderId="11" xfId="0" applyFont="1" applyFill="1" applyBorder="1" applyAlignment="1">
      <alignment horizontal="center"/>
    </xf>
    <xf numFmtId="1" fontId="9" fillId="5" borderId="21" xfId="0" applyNumberFormat="1" applyFont="1" applyFill="1" applyBorder="1" applyAlignment="1">
      <alignment horizontal="center"/>
    </xf>
    <xf numFmtId="0" fontId="3" fillId="0" borderId="3" xfId="0" applyFont="1" applyFill="1" applyBorder="1" applyAlignment="1">
      <alignment horizontal="center"/>
    </xf>
    <xf numFmtId="0" fontId="0" fillId="0" borderId="3" xfId="0" applyBorder="1" applyAlignment="1">
      <alignment/>
    </xf>
    <xf numFmtId="169" fontId="3"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Font="1" applyFill="1" applyBorder="1" applyAlignment="1">
      <alignment/>
    </xf>
    <xf numFmtId="2" fontId="13" fillId="0" borderId="0" xfId="0" applyNumberFormat="1" applyFont="1" applyFill="1" applyBorder="1" applyAlignment="1">
      <alignment/>
    </xf>
    <xf numFmtId="2" fontId="0" fillId="0" borderId="0" xfId="0" applyNumberFormat="1" applyFont="1" applyFill="1" applyBorder="1" applyAlignment="1">
      <alignment/>
    </xf>
    <xf numFmtId="165" fontId="0" fillId="0" borderId="0" xfId="0" applyNumberFormat="1" applyFill="1" applyBorder="1" applyAlignment="1">
      <alignment/>
    </xf>
    <xf numFmtId="0" fontId="0" fillId="0" borderId="0" xfId="0" applyFill="1" applyBorder="1" applyAlignment="1">
      <alignment horizontal="center"/>
    </xf>
    <xf numFmtId="0" fontId="3" fillId="0" borderId="0" xfId="0" applyFont="1" applyFill="1" applyBorder="1" applyAlignment="1">
      <alignment/>
    </xf>
    <xf numFmtId="0" fontId="0" fillId="0" borderId="0" xfId="0" applyFill="1" applyBorder="1" applyAlignment="1" quotePrefix="1">
      <alignment horizontal="center"/>
    </xf>
    <xf numFmtId="2" fontId="0" fillId="0" borderId="0" xfId="0" applyNumberFormat="1" applyFill="1" applyBorder="1" applyAlignment="1">
      <alignment horizontal="center"/>
    </xf>
    <xf numFmtId="1" fontId="3" fillId="0" borderId="0" xfId="0" applyNumberFormat="1" applyFont="1" applyFill="1" applyBorder="1" applyAlignment="1">
      <alignment horizontal="center"/>
    </xf>
    <xf numFmtId="0" fontId="9" fillId="0" borderId="0" xfId="0" applyFont="1" applyFill="1" applyBorder="1" applyAlignment="1">
      <alignment/>
    </xf>
    <xf numFmtId="2" fontId="9" fillId="0" borderId="0" xfId="0" applyNumberFormat="1" applyFont="1" applyFill="1" applyBorder="1" applyAlignment="1">
      <alignment/>
    </xf>
    <xf numFmtId="0" fontId="3" fillId="0" borderId="0" xfId="0" applyFont="1" applyFill="1" applyBorder="1" applyAlignment="1">
      <alignment horizontal="center"/>
    </xf>
    <xf numFmtId="165" fontId="3"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ill="1" applyBorder="1" applyAlignment="1">
      <alignment/>
    </xf>
    <xf numFmtId="0" fontId="13" fillId="0" borderId="0" xfId="0" applyFont="1" applyFill="1" applyBorder="1" applyAlignment="1">
      <alignment/>
    </xf>
    <xf numFmtId="169" fontId="0" fillId="5" borderId="5" xfId="0" applyNumberFormat="1" applyFill="1" applyBorder="1" applyAlignment="1">
      <alignment/>
    </xf>
    <xf numFmtId="169" fontId="0" fillId="5" borderId="4" xfId="0" applyNumberFormat="1" applyFill="1" applyBorder="1" applyAlignment="1">
      <alignment/>
    </xf>
    <xf numFmtId="0" fontId="0" fillId="0" borderId="4" xfId="0" applyBorder="1" applyAlignment="1">
      <alignment horizontal="center"/>
    </xf>
    <xf numFmtId="2" fontId="0" fillId="5" borderId="16" xfId="0" applyNumberFormat="1" applyFont="1" applyFill="1" applyBorder="1" applyAlignment="1">
      <alignment/>
    </xf>
    <xf numFmtId="2" fontId="3" fillId="3" borderId="22" xfId="0" applyNumberFormat="1" applyFont="1" applyFill="1" applyBorder="1" applyAlignment="1">
      <alignment horizontal="center"/>
    </xf>
    <xf numFmtId="2" fontId="3" fillId="4" borderId="22" xfId="0" applyNumberFormat="1" applyFont="1" applyFill="1" applyBorder="1" applyAlignment="1">
      <alignment horizontal="center"/>
    </xf>
    <xf numFmtId="1" fontId="3" fillId="3" borderId="4" xfId="0" applyNumberFormat="1" applyFont="1" applyFill="1" applyBorder="1" applyAlignment="1">
      <alignment horizontal="center"/>
    </xf>
    <xf numFmtId="0" fontId="0" fillId="5" borderId="0" xfId="0" applyFill="1" applyAlignment="1">
      <alignment/>
    </xf>
    <xf numFmtId="170" fontId="0" fillId="0" borderId="0" xfId="0" applyNumberFormat="1" applyAlignment="1">
      <alignment/>
    </xf>
    <xf numFmtId="0" fontId="9" fillId="5" borderId="6" xfId="0" applyFont="1" applyFill="1" applyBorder="1" applyAlignment="1">
      <alignment horizontal="center"/>
    </xf>
    <xf numFmtId="0" fontId="0" fillId="0" borderId="0" xfId="0" applyBorder="1" applyAlignment="1">
      <alignment/>
    </xf>
    <xf numFmtId="2" fontId="3" fillId="0" borderId="9" xfId="0" applyNumberFormat="1" applyFont="1" applyBorder="1" applyAlignment="1">
      <alignment horizontal="left"/>
    </xf>
    <xf numFmtId="169" fontId="0" fillId="0" borderId="23" xfId="0" applyNumberFormat="1" applyBorder="1" applyAlignment="1">
      <alignment horizontal="center"/>
    </xf>
    <xf numFmtId="169" fontId="0" fillId="0" borderId="24" xfId="0" applyNumberFormat="1" applyBorder="1" applyAlignment="1">
      <alignment horizontal="center"/>
    </xf>
    <xf numFmtId="1" fontId="0" fillId="4" borderId="25" xfId="0" applyNumberFormat="1" applyFill="1" applyBorder="1" applyAlignment="1">
      <alignment horizontal="center"/>
    </xf>
    <xf numFmtId="2" fontId="0" fillId="0" borderId="0" xfId="0" applyNumberFormat="1" applyBorder="1" applyAlignment="1">
      <alignment horizontal="center"/>
    </xf>
    <xf numFmtId="1" fontId="0" fillId="0" borderId="0" xfId="0" applyNumberFormat="1" applyBorder="1" applyAlignment="1">
      <alignment/>
    </xf>
    <xf numFmtId="0" fontId="3" fillId="0" borderId="7" xfId="0" applyFont="1" applyFill="1" applyBorder="1" applyAlignment="1">
      <alignment horizontal="center"/>
    </xf>
    <xf numFmtId="2" fontId="15" fillId="0" borderId="12" xfId="0" applyNumberFormat="1" applyFont="1" applyBorder="1" applyAlignment="1">
      <alignment horizontal="center"/>
    </xf>
    <xf numFmtId="2" fontId="15" fillId="0" borderId="0" xfId="0" applyNumberFormat="1" applyFont="1" applyAlignment="1">
      <alignment/>
    </xf>
    <xf numFmtId="0" fontId="3" fillId="0" borderId="0" xfId="0" applyFont="1" applyAlignment="1">
      <alignment/>
    </xf>
    <xf numFmtId="0" fontId="0" fillId="0" borderId="26" xfId="0" applyBorder="1" applyAlignment="1">
      <alignment/>
    </xf>
    <xf numFmtId="1" fontId="0" fillId="0" borderId="27" xfId="0" applyNumberFormat="1" applyBorder="1" applyAlignment="1">
      <alignment horizontal="center"/>
    </xf>
    <xf numFmtId="1" fontId="0" fillId="0" borderId="24" xfId="0" applyNumberFormat="1" applyBorder="1" applyAlignment="1">
      <alignment horizontal="center"/>
    </xf>
    <xf numFmtId="2" fontId="3" fillId="0" borderId="3" xfId="0" applyNumberFormat="1" applyFont="1" applyBorder="1" applyAlignment="1">
      <alignment horizontal="center"/>
    </xf>
    <xf numFmtId="0" fontId="0" fillId="0" borderId="7" xfId="0" applyBorder="1" applyAlignment="1">
      <alignment/>
    </xf>
    <xf numFmtId="1" fontId="0" fillId="0" borderId="0" xfId="0" applyNumberFormat="1" applyBorder="1" applyAlignment="1">
      <alignment horizontal="center"/>
    </xf>
    <xf numFmtId="169" fontId="9" fillId="7" borderId="6" xfId="0" applyNumberFormat="1" applyFont="1" applyFill="1" applyBorder="1" applyAlignment="1">
      <alignment horizontal="center"/>
    </xf>
    <xf numFmtId="0" fontId="0" fillId="0" borderId="5" xfId="0" applyBorder="1" applyAlignment="1">
      <alignment/>
    </xf>
    <xf numFmtId="0" fontId="9" fillId="5" borderId="5" xfId="0" applyFont="1" applyFill="1" applyBorder="1" applyAlignment="1">
      <alignment horizontal="center"/>
    </xf>
    <xf numFmtId="1" fontId="9" fillId="3" borderId="5" xfId="0" applyNumberFormat="1" applyFont="1" applyFill="1" applyBorder="1" applyAlignment="1">
      <alignment horizontal="center"/>
    </xf>
    <xf numFmtId="2" fontId="9" fillId="5" borderId="5" xfId="0" applyNumberFormat="1" applyFont="1" applyFill="1" applyBorder="1" applyAlignment="1">
      <alignment horizontal="center"/>
    </xf>
    <xf numFmtId="2" fontId="0" fillId="0" borderId="8" xfId="0" applyNumberFormat="1" applyBorder="1" applyAlignment="1">
      <alignment horizontal="center"/>
    </xf>
    <xf numFmtId="2" fontId="0" fillId="0" borderId="4" xfId="0" applyNumberFormat="1" applyBorder="1" applyAlignment="1">
      <alignment horizontal="center"/>
    </xf>
    <xf numFmtId="0" fontId="0" fillId="0" borderId="4" xfId="0" applyBorder="1" applyAlignment="1">
      <alignment/>
    </xf>
    <xf numFmtId="0" fontId="9" fillId="5" borderId="16" xfId="0" applyFont="1" applyFill="1" applyBorder="1" applyAlignment="1">
      <alignment horizontal="center"/>
    </xf>
    <xf numFmtId="1" fontId="9" fillId="3" borderId="16" xfId="0" applyNumberFormat="1" applyFont="1" applyFill="1" applyBorder="1" applyAlignment="1">
      <alignment horizontal="center"/>
    </xf>
    <xf numFmtId="0" fontId="3" fillId="8" borderId="27" xfId="0" applyFont="1" applyFill="1" applyBorder="1" applyAlignment="1">
      <alignment horizontal="center"/>
    </xf>
    <xf numFmtId="0" fontId="3" fillId="8" borderId="24" xfId="0" applyFont="1" applyFill="1" applyBorder="1" applyAlignment="1">
      <alignment horizontal="center"/>
    </xf>
    <xf numFmtId="1" fontId="3" fillId="9" borderId="28" xfId="0" applyNumberFormat="1" applyFont="1" applyFill="1" applyBorder="1" applyAlignment="1">
      <alignment horizontal="center"/>
    </xf>
    <xf numFmtId="1" fontId="3" fillId="9" borderId="29" xfId="0" applyNumberFormat="1" applyFont="1" applyFill="1" applyBorder="1" applyAlignment="1">
      <alignment horizontal="center"/>
    </xf>
    <xf numFmtId="0" fontId="0" fillId="8" borderId="5" xfId="0" applyFill="1" applyBorder="1" applyAlignment="1">
      <alignment/>
    </xf>
    <xf numFmtId="0" fontId="3" fillId="8" borderId="6" xfId="0" applyFont="1" applyFill="1" applyBorder="1" applyAlignment="1">
      <alignment horizontal="center"/>
    </xf>
    <xf numFmtId="1" fontId="0" fillId="8" borderId="30" xfId="0" applyNumberFormat="1" applyFont="1" applyFill="1" applyBorder="1" applyAlignment="1">
      <alignment horizontal="center"/>
    </xf>
    <xf numFmtId="1" fontId="0" fillId="8" borderId="31" xfId="0" applyNumberFormat="1" applyFont="1" applyFill="1" applyBorder="1" applyAlignment="1">
      <alignment horizontal="center"/>
    </xf>
    <xf numFmtId="0" fontId="0" fillId="0" borderId="32" xfId="0" applyBorder="1" applyAlignment="1">
      <alignment horizontal="center"/>
    </xf>
    <xf numFmtId="0" fontId="9" fillId="5" borderId="33"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2" fontId="3" fillId="4" borderId="34" xfId="0" applyNumberFormat="1" applyFont="1" applyFill="1" applyBorder="1" applyAlignment="1">
      <alignment horizontal="center"/>
    </xf>
    <xf numFmtId="2" fontId="3" fillId="4" borderId="35" xfId="0" applyNumberFormat="1" applyFont="1" applyFill="1" applyBorder="1" applyAlignment="1">
      <alignment horizontal="center"/>
    </xf>
    <xf numFmtId="2" fontId="3" fillId="4" borderId="36" xfId="0" applyNumberFormat="1" applyFont="1" applyFill="1" applyBorder="1" applyAlignment="1">
      <alignment horizontal="center"/>
    </xf>
    <xf numFmtId="0" fontId="0" fillId="0" borderId="37" xfId="0" applyBorder="1" applyAlignment="1">
      <alignment horizontal="center"/>
    </xf>
    <xf numFmtId="2" fontId="0" fillId="0" borderId="15" xfId="0" applyNumberFormat="1" applyBorder="1" applyAlignment="1">
      <alignment horizontal="center"/>
    </xf>
    <xf numFmtId="2" fontId="0" fillId="0" borderId="0" xfId="0" applyNumberFormat="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2" fontId="3" fillId="3" borderId="4" xfId="0" applyNumberFormat="1" applyFont="1" applyFill="1" applyBorder="1" applyAlignment="1">
      <alignment horizontal="center"/>
    </xf>
    <xf numFmtId="2" fontId="3" fillId="3" borderId="26" xfId="0" applyNumberFormat="1" applyFont="1" applyFill="1" applyBorder="1" applyAlignment="1">
      <alignment horizontal="center"/>
    </xf>
    <xf numFmtId="1" fontId="0" fillId="3" borderId="16" xfId="0" applyNumberFormat="1" applyFill="1" applyBorder="1" applyAlignment="1">
      <alignment horizontal="center"/>
    </xf>
    <xf numFmtId="1" fontId="0" fillId="3" borderId="24" xfId="0" applyNumberFormat="1" applyFill="1" applyBorder="1" applyAlignment="1">
      <alignment horizontal="center"/>
    </xf>
    <xf numFmtId="2" fontId="3" fillId="0" borderId="15" xfId="0" applyNumberFormat="1" applyFont="1" applyBorder="1" applyAlignment="1">
      <alignment horizontal="center"/>
    </xf>
    <xf numFmtId="2" fontId="3" fillId="0" borderId="0" xfId="0" applyNumberFormat="1" applyFont="1" applyAlignment="1">
      <alignment horizontal="center"/>
    </xf>
    <xf numFmtId="1" fontId="3" fillId="4" borderId="28" xfId="0" applyNumberFormat="1" applyFont="1" applyFill="1" applyBorder="1" applyAlignment="1">
      <alignment horizontal="center"/>
    </xf>
    <xf numFmtId="1" fontId="3" fillId="4" borderId="39" xfId="0" applyNumberFormat="1" applyFont="1" applyFill="1" applyBorder="1" applyAlignment="1">
      <alignment horizontal="center"/>
    </xf>
    <xf numFmtId="1" fontId="3" fillId="4" borderId="41" xfId="0" applyNumberFormat="1" applyFont="1" applyFill="1" applyBorder="1" applyAlignment="1">
      <alignment horizontal="center"/>
    </xf>
    <xf numFmtId="0" fontId="9" fillId="5" borderId="8" xfId="0" applyFont="1" applyFill="1" applyBorder="1" applyAlignment="1">
      <alignment horizontal="center"/>
    </xf>
    <xf numFmtId="0" fontId="9" fillId="5" borderId="34" xfId="0" applyFont="1" applyFill="1" applyBorder="1" applyAlignment="1">
      <alignment horizontal="center"/>
    </xf>
    <xf numFmtId="1" fontId="9" fillId="5" borderId="42" xfId="0" applyNumberFormat="1" applyFont="1" applyFill="1" applyBorder="1" applyAlignment="1">
      <alignment horizontal="center"/>
    </xf>
    <xf numFmtId="1" fontId="9" fillId="5" borderId="33" xfId="0" applyNumberFormat="1" applyFont="1" applyFill="1" applyBorder="1" applyAlignment="1">
      <alignment horizontal="center"/>
    </xf>
    <xf numFmtId="1" fontId="9" fillId="5" borderId="13" xfId="0" applyNumberFormat="1" applyFont="1" applyFill="1" applyBorder="1" applyAlignment="1">
      <alignment horizontal="center"/>
    </xf>
    <xf numFmtId="1" fontId="9" fillId="6" borderId="12" xfId="0" applyNumberFormat="1" applyFont="1" applyFill="1" applyBorder="1" applyAlignment="1">
      <alignment horizontal="center"/>
    </xf>
    <xf numFmtId="1" fontId="9" fillId="6" borderId="19" xfId="0" applyNumberFormat="1" applyFont="1" applyFill="1" applyBorder="1" applyAlignment="1">
      <alignment horizontal="center"/>
    </xf>
    <xf numFmtId="0" fontId="9" fillId="10" borderId="43" xfId="0" applyFont="1" applyFill="1" applyBorder="1" applyAlignment="1">
      <alignment horizontal="center"/>
    </xf>
    <xf numFmtId="0" fontId="9" fillId="10" borderId="35" xfId="0" applyFont="1" applyFill="1" applyBorder="1" applyAlignment="1">
      <alignment horizontal="center"/>
    </xf>
    <xf numFmtId="2" fontId="15" fillId="0" borderId="8" xfId="0" applyNumberFormat="1" applyFont="1" applyBorder="1" applyAlignment="1">
      <alignment horizontal="center"/>
    </xf>
    <xf numFmtId="2" fontId="15" fillId="0" borderId="26" xfId="0" applyNumberFormat="1" applyFont="1" applyBorder="1" applyAlignment="1">
      <alignment horizontal="center"/>
    </xf>
    <xf numFmtId="1" fontId="3" fillId="7" borderId="42" xfId="0" applyNumberFormat="1" applyFont="1" applyFill="1" applyBorder="1" applyAlignment="1">
      <alignment horizontal="center"/>
    </xf>
    <xf numFmtId="1" fontId="3" fillId="7" borderId="33" xfId="0" applyNumberFormat="1" applyFont="1" applyFill="1" applyBorder="1" applyAlignment="1">
      <alignment horizontal="center"/>
    </xf>
    <xf numFmtId="0" fontId="9" fillId="5" borderId="42" xfId="0" applyFont="1" applyFill="1" applyBorder="1" applyAlignment="1">
      <alignment horizontal="center"/>
    </xf>
    <xf numFmtId="0" fontId="0" fillId="0" borderId="4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2" fontId="0" fillId="0" borderId="7" xfId="0" applyNumberFormat="1" applyBorder="1" applyAlignment="1">
      <alignment horizontal="center"/>
    </xf>
    <xf numFmtId="2" fontId="0" fillId="0" borderId="16" xfId="0" applyNumberFormat="1"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41" xfId="0" applyBorder="1" applyAlignment="1">
      <alignment horizontal="center"/>
    </xf>
    <xf numFmtId="0" fontId="0" fillId="0" borderId="0" xfId="0" applyFill="1" applyBorder="1" applyAlignment="1">
      <alignment horizontal="left"/>
    </xf>
    <xf numFmtId="0" fontId="0" fillId="0" borderId="0" xfId="0" applyFill="1" applyBorder="1" applyAlignment="1">
      <alignment horizontal="left" vertical="top" wrapText="1"/>
    </xf>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3" fillId="4" borderId="45" xfId="0" applyNumberFormat="1" applyFont="1" applyFill="1" applyBorder="1" applyAlignment="1">
      <alignment horizontal="center"/>
    </xf>
    <xf numFmtId="2" fontId="3" fillId="4" borderId="46" xfId="0" applyNumberFormat="1" applyFont="1" applyFill="1" applyBorder="1" applyAlignment="1">
      <alignment horizontal="center"/>
    </xf>
    <xf numFmtId="2" fontId="3" fillId="4" borderId="47" xfId="0" applyNumberFormat="1" applyFont="1" applyFill="1" applyBorder="1" applyAlignment="1">
      <alignment horizontal="center"/>
    </xf>
    <xf numFmtId="1" fontId="3" fillId="4" borderId="34" xfId="0" applyNumberFormat="1" applyFont="1" applyFill="1" applyBorder="1" applyAlignment="1">
      <alignment horizontal="center"/>
    </xf>
    <xf numFmtId="1" fontId="3" fillId="4" borderId="35" xfId="0" applyNumberFormat="1" applyFont="1" applyFill="1" applyBorder="1" applyAlignment="1">
      <alignment horizontal="center"/>
    </xf>
    <xf numFmtId="1" fontId="3" fillId="4" borderId="36" xfId="0" applyNumberFormat="1" applyFont="1" applyFill="1" applyBorder="1" applyAlignment="1">
      <alignment horizontal="center"/>
    </xf>
    <xf numFmtId="0" fontId="0" fillId="0" borderId="4"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0" xfId="0" applyFont="1" applyAlignment="1">
      <alignment horizontal="center"/>
    </xf>
    <xf numFmtId="1" fontId="9" fillId="5" borderId="48" xfId="0" applyNumberFormat="1" applyFont="1" applyFill="1" applyBorder="1" applyAlignment="1">
      <alignment horizontal="center"/>
    </xf>
    <xf numFmtId="1" fontId="9" fillId="5" borderId="49" xfId="0" applyNumberFormat="1" applyFont="1" applyFill="1" applyBorder="1" applyAlignment="1">
      <alignment horizontal="center"/>
    </xf>
    <xf numFmtId="1" fontId="9" fillId="5" borderId="50" xfId="0" applyNumberFormat="1" applyFont="1" applyFill="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0:I49"/>
  <sheetViews>
    <sheetView workbookViewId="0" topLeftCell="A1">
      <selection activeCell="C16" sqref="C16"/>
    </sheetView>
  </sheetViews>
  <sheetFormatPr defaultColWidth="11.421875" defaultRowHeight="12.75"/>
  <cols>
    <col min="2" max="2" width="40.8515625" style="0" customWidth="1"/>
    <col min="3" max="3" width="20.421875" style="18" customWidth="1"/>
    <col min="5" max="5" width="41.57421875" style="0" customWidth="1"/>
    <col min="6" max="6" width="26.57421875" style="0" customWidth="1"/>
    <col min="7" max="7" width="9.140625" style="0" customWidth="1"/>
    <col min="8" max="8" width="15.28125" style="0" customWidth="1"/>
  </cols>
  <sheetData>
    <row r="10" spans="5:7" ht="12.75">
      <c r="E10" t="s">
        <v>119</v>
      </c>
      <c r="F10" t="s">
        <v>120</v>
      </c>
      <c r="G10" t="s">
        <v>121</v>
      </c>
    </row>
    <row r="11" spans="2:7" ht="12.75">
      <c r="B11" t="s">
        <v>71</v>
      </c>
      <c r="C11" s="18" t="s">
        <v>72</v>
      </c>
      <c r="E11" t="s">
        <v>122</v>
      </c>
      <c r="F11" t="s">
        <v>123</v>
      </c>
      <c r="G11">
        <v>2.85</v>
      </c>
    </row>
    <row r="12" spans="2:7" ht="12.75">
      <c r="B12" t="s">
        <v>73</v>
      </c>
      <c r="E12" t="s">
        <v>124</v>
      </c>
      <c r="F12" t="s">
        <v>125</v>
      </c>
      <c r="G12" t="s">
        <v>126</v>
      </c>
    </row>
    <row r="13" spans="2:7" ht="12.75">
      <c r="B13" t="s">
        <v>74</v>
      </c>
      <c r="E13" t="s">
        <v>127</v>
      </c>
      <c r="F13" t="s">
        <v>128</v>
      </c>
      <c r="G13" t="s">
        <v>129</v>
      </c>
    </row>
    <row r="14" spans="2:7" ht="12.75">
      <c r="B14" t="s">
        <v>75</v>
      </c>
      <c r="C14" s="18" t="s">
        <v>76</v>
      </c>
      <c r="E14" t="s">
        <v>130</v>
      </c>
      <c r="F14" t="s">
        <v>131</v>
      </c>
      <c r="G14" t="s">
        <v>132</v>
      </c>
    </row>
    <row r="15" spans="2:7" ht="12.75">
      <c r="B15" t="s">
        <v>77</v>
      </c>
      <c r="C15" s="18">
        <v>429</v>
      </c>
      <c r="E15" t="s">
        <v>133</v>
      </c>
      <c r="F15" t="s">
        <v>134</v>
      </c>
      <c r="G15" t="s">
        <v>135</v>
      </c>
    </row>
    <row r="16" spans="2:3" ht="12.75">
      <c r="B16" t="s">
        <v>78</v>
      </c>
      <c r="C16" s="18">
        <v>401</v>
      </c>
    </row>
    <row r="17" spans="2:3" ht="12.75">
      <c r="B17" t="s">
        <v>79</v>
      </c>
      <c r="C17" s="18">
        <v>317</v>
      </c>
    </row>
    <row r="18" spans="2:3" ht="12.75">
      <c r="B18" t="s">
        <v>80</v>
      </c>
      <c r="C18" s="18">
        <v>237</v>
      </c>
    </row>
    <row r="19" spans="2:3" ht="12.75">
      <c r="B19" t="s">
        <v>81</v>
      </c>
      <c r="C19" s="18" t="s">
        <v>82</v>
      </c>
    </row>
    <row r="20" spans="2:3" ht="12.75">
      <c r="B20" t="s">
        <v>83</v>
      </c>
      <c r="C20" s="18">
        <v>129</v>
      </c>
    </row>
    <row r="21" spans="2:7" ht="12.75">
      <c r="B21" t="s">
        <v>84</v>
      </c>
      <c r="C21" s="18">
        <v>71.6</v>
      </c>
      <c r="E21" t="s">
        <v>136</v>
      </c>
      <c r="F21" t="s">
        <v>137</v>
      </c>
      <c r="G21" t="s">
        <v>138</v>
      </c>
    </row>
    <row r="22" spans="2:7" ht="12.75">
      <c r="B22" t="s">
        <v>85</v>
      </c>
      <c r="C22" s="18">
        <v>66.6</v>
      </c>
      <c r="E22" t="s">
        <v>139</v>
      </c>
      <c r="F22" t="s">
        <v>140</v>
      </c>
      <c r="G22" t="s">
        <v>141</v>
      </c>
    </row>
    <row r="23" spans="2:9" ht="12.75">
      <c r="B23" t="s">
        <v>86</v>
      </c>
      <c r="C23" s="18">
        <v>46</v>
      </c>
      <c r="E23" t="s">
        <v>142</v>
      </c>
      <c r="F23">
        <v>41</v>
      </c>
      <c r="G23">
        <v>-7</v>
      </c>
      <c r="H23">
        <v>-94</v>
      </c>
      <c r="I23">
        <v>-120</v>
      </c>
    </row>
    <row r="24" spans="2:9" ht="12.75">
      <c r="B24" t="s">
        <v>87</v>
      </c>
      <c r="C24" s="18">
        <v>26</v>
      </c>
      <c r="E24" t="s">
        <v>143</v>
      </c>
      <c r="F24">
        <v>121</v>
      </c>
      <c r="G24">
        <v>76</v>
      </c>
      <c r="H24">
        <v>-1</v>
      </c>
      <c r="I24">
        <v>-56</v>
      </c>
    </row>
    <row r="25" spans="2:9" ht="12.75">
      <c r="B25" t="s">
        <v>88</v>
      </c>
      <c r="C25" s="18" t="s">
        <v>89</v>
      </c>
      <c r="E25" t="s">
        <v>144</v>
      </c>
      <c r="F25">
        <v>148</v>
      </c>
      <c r="G25">
        <v>104</v>
      </c>
      <c r="H25">
        <v>26</v>
      </c>
      <c r="I25">
        <v>-29</v>
      </c>
    </row>
    <row r="26" spans="2:3" ht="12.75">
      <c r="B26" t="s">
        <v>90</v>
      </c>
      <c r="C26" s="18">
        <v>20</v>
      </c>
    </row>
    <row r="27" spans="2:3" ht="12.75">
      <c r="B27" t="s">
        <v>91</v>
      </c>
      <c r="C27" s="18" t="s">
        <v>92</v>
      </c>
    </row>
    <row r="28" spans="2:3" ht="12.75">
      <c r="B28" t="s">
        <v>93</v>
      </c>
      <c r="C28" s="18">
        <v>2.5</v>
      </c>
    </row>
    <row r="29" spans="2:3" ht="12.75">
      <c r="B29" t="s">
        <v>94</v>
      </c>
      <c r="C29" s="18">
        <v>1.35</v>
      </c>
    </row>
    <row r="30" spans="2:3" ht="12.75">
      <c r="B30" t="s">
        <v>95</v>
      </c>
      <c r="C30" s="18" t="s">
        <v>96</v>
      </c>
    </row>
    <row r="31" spans="2:3" ht="12.75">
      <c r="B31" t="s">
        <v>97</v>
      </c>
      <c r="C31" s="18">
        <v>0.87</v>
      </c>
    </row>
    <row r="32" spans="2:3" ht="12.75">
      <c r="B32" t="s">
        <v>98</v>
      </c>
      <c r="C32" s="18">
        <v>0.75</v>
      </c>
    </row>
    <row r="33" spans="2:3" ht="12.75">
      <c r="B33" t="s">
        <v>99</v>
      </c>
      <c r="C33" s="18">
        <v>0.6</v>
      </c>
    </row>
    <row r="34" spans="2:3" ht="12.75">
      <c r="B34" t="s">
        <v>100</v>
      </c>
      <c r="C34" s="18">
        <v>0.36</v>
      </c>
    </row>
    <row r="35" spans="2:3" ht="12.75">
      <c r="B35" t="s">
        <v>101</v>
      </c>
      <c r="C35" s="18" t="s">
        <v>102</v>
      </c>
    </row>
    <row r="36" spans="2:3" ht="12.75">
      <c r="B36" t="s">
        <v>103</v>
      </c>
      <c r="C36" s="18">
        <v>0.32</v>
      </c>
    </row>
    <row r="37" spans="2:3" ht="12.75">
      <c r="B37" t="s">
        <v>104</v>
      </c>
      <c r="C37" s="18">
        <v>0.15</v>
      </c>
    </row>
    <row r="38" spans="2:3" ht="12.75">
      <c r="B38" t="s">
        <v>105</v>
      </c>
      <c r="C38" s="18" t="s">
        <v>106</v>
      </c>
    </row>
    <row r="39" spans="2:3" ht="12.75">
      <c r="B39" t="s">
        <v>107</v>
      </c>
      <c r="C39" s="18">
        <v>0.056</v>
      </c>
    </row>
    <row r="40" spans="2:3" ht="12.75">
      <c r="B40" t="s">
        <v>108</v>
      </c>
      <c r="C40" s="18">
        <v>0.05</v>
      </c>
    </row>
    <row r="41" spans="2:3" ht="12.75">
      <c r="B41" t="s">
        <v>109</v>
      </c>
      <c r="C41" s="18" t="s">
        <v>110</v>
      </c>
    </row>
    <row r="42" spans="2:3" ht="12.75">
      <c r="B42" t="s">
        <v>111</v>
      </c>
      <c r="C42" s="18">
        <v>0.04</v>
      </c>
    </row>
    <row r="43" spans="2:3" ht="12.75">
      <c r="B43" t="s">
        <v>112</v>
      </c>
      <c r="C43" s="18">
        <v>0.03</v>
      </c>
    </row>
    <row r="44" spans="2:3" ht="12.75">
      <c r="B44" t="s">
        <v>113</v>
      </c>
      <c r="C44" s="18">
        <v>0.02</v>
      </c>
    </row>
    <row r="45" spans="2:3" ht="12.75">
      <c r="B45" t="s">
        <v>114</v>
      </c>
      <c r="C45" s="18">
        <v>0.027</v>
      </c>
    </row>
    <row r="46" spans="2:3" ht="12.75">
      <c r="B46" t="s">
        <v>115</v>
      </c>
      <c r="C46" s="18">
        <v>0.0262</v>
      </c>
    </row>
    <row r="47" ht="12.75">
      <c r="B47" t="s">
        <v>116</v>
      </c>
    </row>
    <row r="48" ht="12.75">
      <c r="B48" t="s">
        <v>117</v>
      </c>
    </row>
    <row r="49" spans="2:3" ht="12.75">
      <c r="B49" t="s">
        <v>118</v>
      </c>
      <c r="C49" s="18">
        <v>2.5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pageSetUpPr fitToPage="1"/>
  </sheetPr>
  <dimension ref="A1:K50"/>
  <sheetViews>
    <sheetView tabSelected="1" workbookViewId="0" topLeftCell="A1">
      <selection activeCell="D24" sqref="D24"/>
    </sheetView>
  </sheetViews>
  <sheetFormatPr defaultColWidth="11.421875" defaultRowHeight="12.75"/>
  <cols>
    <col min="2" max="2" width="41.28125" style="0" customWidth="1"/>
    <col min="3" max="3" width="11.140625" style="5" customWidth="1"/>
    <col min="4" max="4" width="13.421875" style="5" customWidth="1"/>
    <col min="5" max="5" width="11.00390625" style="5" customWidth="1"/>
    <col min="6" max="6" width="8.421875" style="5" customWidth="1"/>
    <col min="7" max="7" width="13.57421875" style="0" customWidth="1"/>
    <col min="8" max="8" width="20.8515625" style="5" customWidth="1"/>
    <col min="9" max="9" width="12.7109375" style="0" customWidth="1"/>
    <col min="10" max="10" width="12.8515625" style="0" customWidth="1"/>
    <col min="11" max="11" width="12.00390625" style="0" customWidth="1"/>
    <col min="12" max="12" width="12.57421875" style="0" customWidth="1"/>
  </cols>
  <sheetData>
    <row r="1" ht="20.25">
      <c r="C1" s="118" t="s">
        <v>317</v>
      </c>
    </row>
    <row r="2" ht="13.5" thickBot="1"/>
    <row r="3" spans="2:7" ht="21" thickBot="1">
      <c r="B3" s="118" t="s">
        <v>148</v>
      </c>
      <c r="D3" s="146" t="s">
        <v>159</v>
      </c>
      <c r="E3" s="146"/>
      <c r="F3" s="147"/>
      <c r="G3" s="108">
        <v>2000</v>
      </c>
    </row>
    <row r="4" spans="2:6" ht="13.5" thickBot="1">
      <c r="B4" s="15"/>
      <c r="D4"/>
      <c r="E4"/>
      <c r="F4"/>
    </row>
    <row r="5" spans="3:10" ht="13.5" thickBot="1">
      <c r="C5" s="24" t="s">
        <v>61</v>
      </c>
      <c r="D5" s="25" t="s">
        <v>68</v>
      </c>
      <c r="E5" s="148" t="s">
        <v>66</v>
      </c>
      <c r="F5" s="149"/>
      <c r="G5" s="150"/>
      <c r="H5" s="161"/>
      <c r="I5" s="162"/>
      <c r="J5" s="17"/>
    </row>
    <row r="6" spans="2:9" ht="12.75">
      <c r="B6" s="39" t="s">
        <v>58</v>
      </c>
      <c r="C6" s="41">
        <f>Calculs!C22</f>
        <v>101.78571428571428</v>
      </c>
      <c r="D6" s="61">
        <f>Calculs!D22</f>
        <v>21.768808871639475</v>
      </c>
      <c r="E6" s="163">
        <f>Calculs!E22</f>
        <v>261.2257064596737</v>
      </c>
      <c r="F6" s="164"/>
      <c r="G6" s="165"/>
      <c r="H6" s="152"/>
      <c r="I6" s="153"/>
    </row>
    <row r="7" spans="2:9" ht="12.75">
      <c r="B7" s="40" t="s">
        <v>149</v>
      </c>
      <c r="C7" s="41">
        <f>Calculs!C23</f>
        <v>36.13358389603771</v>
      </c>
      <c r="D7" s="61">
        <f>Calculs!D23</f>
        <v>7.727853434051039</v>
      </c>
      <c r="E7" s="163">
        <f>Calculs!E23</f>
        <v>92.73424120861246</v>
      </c>
      <c r="F7" s="164"/>
      <c r="G7" s="165"/>
      <c r="H7" s="152"/>
      <c r="I7" s="153"/>
    </row>
    <row r="8" spans="2:9" ht="12.75">
      <c r="B8" s="40" t="s">
        <v>177</v>
      </c>
      <c r="C8" s="41">
        <f>Calculs!C24</f>
        <v>188.2051282051282</v>
      </c>
      <c r="D8" s="61">
        <f>Calculs!D24</f>
        <v>40.25124245883352</v>
      </c>
      <c r="E8" s="163">
        <f>Calculs!E24</f>
        <v>483.0149095060022</v>
      </c>
      <c r="F8" s="164"/>
      <c r="G8" s="165"/>
      <c r="H8" s="152"/>
      <c r="I8" s="153"/>
    </row>
    <row r="9" spans="2:9" ht="12.75">
      <c r="B9" s="40" t="s">
        <v>152</v>
      </c>
      <c r="C9" s="41">
        <f>Calculs!C25</f>
        <v>30.24</v>
      </c>
      <c r="D9" s="61">
        <f>Calculs!D25</f>
        <v>6.467398543085816</v>
      </c>
      <c r="E9" s="163">
        <f>Calculs!E25</f>
        <v>77.60878251702978</v>
      </c>
      <c r="F9" s="164"/>
      <c r="G9" s="165"/>
      <c r="H9" s="161"/>
      <c r="I9" s="162"/>
    </row>
    <row r="10" spans="2:9" ht="12.75">
      <c r="B10" s="23" t="s">
        <v>153</v>
      </c>
      <c r="C10" s="41">
        <f>Calculs!C26</f>
        <v>26.4</v>
      </c>
      <c r="D10" s="61">
        <f>Calculs!D26</f>
        <v>5.646141585233649</v>
      </c>
      <c r="E10" s="163">
        <f>Calculs!E26</f>
        <v>67.75369902280379</v>
      </c>
      <c r="F10" s="164"/>
      <c r="G10" s="165"/>
      <c r="H10" s="152"/>
      <c r="I10" s="153"/>
    </row>
    <row r="11" spans="2:9" ht="12.75">
      <c r="B11" s="23" t="s">
        <v>184</v>
      </c>
      <c r="C11" s="41">
        <f>Calculs!C27</f>
        <v>8.311520859003696</v>
      </c>
      <c r="D11" s="61">
        <f>Calculs!D27</f>
        <v>1.7775766499453665</v>
      </c>
      <c r="E11" s="163">
        <f>Calculs!E27</f>
        <v>21.330919799344397</v>
      </c>
      <c r="F11" s="164"/>
      <c r="G11" s="165"/>
      <c r="H11" s="58"/>
      <c r="I11" s="54"/>
    </row>
    <row r="12" spans="2:9" ht="13.5" thickBot="1">
      <c r="B12" s="49" t="s">
        <v>155</v>
      </c>
      <c r="C12" s="41">
        <f>Calculs!C28</f>
        <v>76.5</v>
      </c>
      <c r="D12" s="61">
        <f>Calculs!D28</f>
        <v>16.360978457211143</v>
      </c>
      <c r="E12" s="163">
        <f>Calculs!E28</f>
        <v>196.33174148653367</v>
      </c>
      <c r="F12" s="164"/>
      <c r="G12" s="165"/>
      <c r="H12" s="152"/>
      <c r="I12" s="153"/>
    </row>
    <row r="13" spans="2:9" ht="13.5" thickBot="1">
      <c r="B13" s="49"/>
      <c r="C13" s="72"/>
      <c r="D13" s="73"/>
      <c r="E13" s="47"/>
      <c r="F13" s="47"/>
      <c r="G13" s="48"/>
      <c r="H13" s="58"/>
      <c r="I13" s="54"/>
    </row>
    <row r="14" spans="2:9" ht="13.5" thickBot="1">
      <c r="B14" s="45" t="s">
        <v>59</v>
      </c>
      <c r="C14" s="46">
        <f>SUM(C6:C12)</f>
        <v>467.57594724588387</v>
      </c>
      <c r="D14" s="46">
        <f>SUM(D6:D12)</f>
        <v>100.00000000000001</v>
      </c>
      <c r="E14" s="168">
        <f>SUM(E6:E12)</f>
        <v>1200</v>
      </c>
      <c r="F14" s="169"/>
      <c r="G14" s="170"/>
      <c r="H14" s="152"/>
      <c r="I14" s="153"/>
    </row>
    <row r="15" spans="2:7" ht="13.5" thickBot="1">
      <c r="B15" s="50"/>
      <c r="C15" s="51"/>
      <c r="D15" s="51"/>
      <c r="E15" s="51"/>
      <c r="F15" s="51"/>
      <c r="G15" s="51"/>
    </row>
    <row r="16" spans="2:7" ht="13.5" thickBot="1">
      <c r="B16" s="52" t="s">
        <v>156</v>
      </c>
      <c r="C16" s="57">
        <v>60</v>
      </c>
      <c r="D16" s="171" t="s">
        <v>158</v>
      </c>
      <c r="E16" s="172"/>
      <c r="F16" s="53">
        <f>Calculs!F31</f>
        <v>800</v>
      </c>
      <c r="G16" s="51"/>
    </row>
    <row r="17" spans="2:7" ht="13.5" thickBot="1">
      <c r="B17" s="55" t="s">
        <v>157</v>
      </c>
      <c r="C17" s="56">
        <f>Calculs!C32</f>
        <v>0</v>
      </c>
      <c r="D17" s="177" t="s">
        <v>172</v>
      </c>
      <c r="E17" s="178"/>
      <c r="F17" s="126">
        <f>(G3-C17)/C14</f>
        <v>4.277379988813371</v>
      </c>
      <c r="G17" s="51"/>
    </row>
    <row r="18" ht="12.75"/>
    <row r="19" ht="12.75"/>
    <row r="20" ht="13.5" thickBot="1"/>
    <row r="21" spans="2:9" ht="21" thickBot="1">
      <c r="B21" s="117" t="s">
        <v>160</v>
      </c>
      <c r="C21" s="70" t="s">
        <v>163</v>
      </c>
      <c r="D21" s="70" t="s">
        <v>164</v>
      </c>
      <c r="E21" s="71" t="s">
        <v>161</v>
      </c>
      <c r="F21" s="70" t="s">
        <v>166</v>
      </c>
      <c r="G21" s="70" t="s">
        <v>168</v>
      </c>
      <c r="H21" s="110" t="s">
        <v>165</v>
      </c>
      <c r="I21" s="31"/>
    </row>
    <row r="22" spans="2:9" ht="12.75">
      <c r="B22" s="66" t="s">
        <v>162</v>
      </c>
      <c r="C22" s="67">
        <f>C6</f>
        <v>101.78571428571428</v>
      </c>
      <c r="D22" s="67">
        <v>16</v>
      </c>
      <c r="E22" s="68">
        <f>C22-D22</f>
        <v>85.78571428571428</v>
      </c>
      <c r="F22" s="69">
        <v>4.52</v>
      </c>
      <c r="G22" s="67">
        <f>120*F22</f>
        <v>542.4</v>
      </c>
      <c r="H22" s="111">
        <f>G22/E22</f>
        <v>6.322731057452123</v>
      </c>
      <c r="I22" s="109"/>
    </row>
    <row r="23" spans="2:9" ht="13.5" thickBot="1">
      <c r="B23" s="65" t="s">
        <v>167</v>
      </c>
      <c r="C23" s="62">
        <f>C8+C10</f>
        <v>214.6051282051282</v>
      </c>
      <c r="D23" s="62">
        <v>215</v>
      </c>
      <c r="E23" s="63">
        <v>150</v>
      </c>
      <c r="F23" s="64">
        <v>80</v>
      </c>
      <c r="G23" s="62">
        <v>12000</v>
      </c>
      <c r="H23" s="112">
        <f>G23/E23</f>
        <v>80</v>
      </c>
      <c r="I23" s="109"/>
    </row>
    <row r="24" spans="2:8" ht="12.75">
      <c r="B24" s="18"/>
      <c r="H24"/>
    </row>
    <row r="25" spans="2:8" ht="13.5" thickBot="1">
      <c r="B25" s="18"/>
      <c r="H25"/>
    </row>
    <row r="26" spans="2:6" ht="15.75">
      <c r="B26" s="59" t="s">
        <v>169</v>
      </c>
      <c r="C26" s="25" t="s">
        <v>161</v>
      </c>
      <c r="D26" s="157" t="s">
        <v>185</v>
      </c>
      <c r="E26" s="157"/>
      <c r="F26" s="158"/>
    </row>
    <row r="27" spans="2:6" ht="13.5" thickBot="1">
      <c r="B27" s="65" t="s">
        <v>162</v>
      </c>
      <c r="C27" s="63">
        <f>E22</f>
        <v>85.78571428571428</v>
      </c>
      <c r="D27" s="159">
        <f>C27*F$17</f>
        <v>366.93809761177556</v>
      </c>
      <c r="E27" s="159"/>
      <c r="F27" s="160"/>
    </row>
    <row r="28" spans="2:6" ht="13.5" thickBot="1">
      <c r="B28" s="60" t="s">
        <v>167</v>
      </c>
      <c r="C28" s="113">
        <f>E23</f>
        <v>150</v>
      </c>
      <c r="D28" s="159">
        <f>C28*F$17</f>
        <v>641.6069983220056</v>
      </c>
      <c r="E28" s="159"/>
      <c r="F28" s="160"/>
    </row>
    <row r="29" spans="2:3" ht="13.5" thickBot="1">
      <c r="B29" s="74" t="s">
        <v>186</v>
      </c>
      <c r="C29" s="75">
        <f>SUM(C27:C28)</f>
        <v>235.78571428571428</v>
      </c>
    </row>
    <row r="30" spans="2:3" ht="13.5" thickBot="1">
      <c r="B30" s="45" t="s">
        <v>170</v>
      </c>
      <c r="C30" s="46">
        <f>C29/C14*100</f>
        <v>50.427254796689056</v>
      </c>
    </row>
    <row r="31" spans="2:7" ht="13.5" thickBot="1">
      <c r="B31" s="45" t="s">
        <v>171</v>
      </c>
      <c r="C31" s="46">
        <f>C29*F17</f>
        <v>1008.5450959337811</v>
      </c>
      <c r="D31" s="179" t="s">
        <v>187</v>
      </c>
      <c r="E31" s="145"/>
      <c r="F31" s="145"/>
      <c r="G31" s="46">
        <f>G3-C31</f>
        <v>991.4549040662189</v>
      </c>
    </row>
    <row r="32" ht="12.75"/>
    <row r="33" spans="3:8" s="79" customFormat="1" ht="10.5" customHeight="1">
      <c r="C33" s="80"/>
      <c r="D33" s="80"/>
      <c r="E33" s="80"/>
      <c r="F33" s="80"/>
      <c r="H33" s="80"/>
    </row>
    <row r="34" ht="13.5" thickBot="1"/>
    <row r="35" spans="7:11" ht="13.5" thickBot="1">
      <c r="G35" s="131"/>
      <c r="H35" s="132"/>
      <c r="I35" s="133" t="s">
        <v>191</v>
      </c>
      <c r="J35" s="101" t="s">
        <v>304</v>
      </c>
      <c r="K35" s="120" t="s">
        <v>316</v>
      </c>
    </row>
    <row r="36" spans="2:11" ht="20.25">
      <c r="B36" s="175" t="s">
        <v>188</v>
      </c>
      <c r="C36" s="176"/>
      <c r="G36" s="181" t="s">
        <v>189</v>
      </c>
      <c r="H36" s="182"/>
      <c r="I36" s="128">
        <v>0.07</v>
      </c>
      <c r="J36" s="127"/>
      <c r="K36" s="136">
        <v>30</v>
      </c>
    </row>
    <row r="37" spans="2:11" ht="12.75">
      <c r="B37" s="76" t="s">
        <v>305</v>
      </c>
      <c r="C37" s="121">
        <v>60</v>
      </c>
      <c r="G37" s="181" t="s">
        <v>190</v>
      </c>
      <c r="H37" s="182"/>
      <c r="I37" s="128">
        <v>0.05</v>
      </c>
      <c r="J37" s="129">
        <f>100-I37/I$36*100</f>
        <v>28.57142857142857</v>
      </c>
      <c r="K37" s="136">
        <v>25</v>
      </c>
    </row>
    <row r="38" spans="2:11" ht="12.75">
      <c r="B38" s="76" t="s">
        <v>310</v>
      </c>
      <c r="C38" s="121">
        <v>82</v>
      </c>
      <c r="D38" s="114"/>
      <c r="E38" s="54"/>
      <c r="F38" s="54"/>
      <c r="G38" s="181" t="s">
        <v>301</v>
      </c>
      <c r="H38" s="182"/>
      <c r="I38" s="130">
        <f>0.1085/2.5</f>
        <v>0.0434</v>
      </c>
      <c r="J38" s="129">
        <f>100-I38/I$36*100</f>
        <v>38</v>
      </c>
      <c r="K38" s="136">
        <v>30</v>
      </c>
    </row>
    <row r="39" spans="2:11" ht="12.75">
      <c r="B39" s="123" t="s">
        <v>306</v>
      </c>
      <c r="C39" s="121">
        <v>95</v>
      </c>
      <c r="G39" s="181" t="s">
        <v>302</v>
      </c>
      <c r="H39" s="182"/>
      <c r="I39" s="130">
        <f>0.066/2.5*0.666666+0.1085/2.5*0.33333</f>
        <v>0.0320665044</v>
      </c>
      <c r="J39" s="129">
        <f>100-I39/I$36*100</f>
        <v>54.190708</v>
      </c>
      <c r="K39" s="136">
        <v>30</v>
      </c>
    </row>
    <row r="40" spans="2:11" ht="13.5" thickBot="1">
      <c r="B40" s="76" t="s">
        <v>311</v>
      </c>
      <c r="C40" s="121">
        <v>89</v>
      </c>
      <c r="D40" s="54"/>
      <c r="E40" s="54"/>
      <c r="F40" s="54"/>
      <c r="G40" s="183" t="s">
        <v>312</v>
      </c>
      <c r="H40" s="184"/>
      <c r="I40" s="134">
        <v>0.045</v>
      </c>
      <c r="J40" s="135">
        <f>100-I40/I$36*100</f>
        <v>35.71428571428572</v>
      </c>
      <c r="K40" s="137">
        <v>10</v>
      </c>
    </row>
    <row r="41" spans="2:7" ht="13.5" thickBot="1">
      <c r="B41" s="116" t="s">
        <v>313</v>
      </c>
      <c r="C41" s="122">
        <v>71</v>
      </c>
      <c r="D41" s="114"/>
      <c r="E41" s="54"/>
      <c r="F41" s="54"/>
      <c r="G41" s="54"/>
    </row>
    <row r="42" spans="2:7" ht="12.75">
      <c r="B42" s="92"/>
      <c r="C42" s="125"/>
      <c r="D42" s="114"/>
      <c r="E42" s="54"/>
      <c r="F42" s="54"/>
      <c r="G42" s="54"/>
    </row>
    <row r="43" spans="2:5" ht="13.5" thickBot="1">
      <c r="B43" s="92"/>
      <c r="C43" s="115"/>
      <c r="D43" s="114"/>
      <c r="E43" s="54"/>
    </row>
    <row r="44" spans="2:10" ht="13.5" thickBot="1">
      <c r="B44" s="166" t="s">
        <v>307</v>
      </c>
      <c r="C44" s="167"/>
      <c r="D44" s="141" t="s">
        <v>315</v>
      </c>
      <c r="F44" s="173" t="s">
        <v>314</v>
      </c>
      <c r="G44" s="174"/>
      <c r="H44" s="174"/>
      <c r="I44" s="174"/>
      <c r="J44" s="141" t="s">
        <v>315</v>
      </c>
    </row>
    <row r="45" spans="2:10" ht="12.75">
      <c r="B45" s="77" t="s">
        <v>190</v>
      </c>
      <c r="C45" s="138">
        <f>G$31*(1-(C38-C37)/100)*(1-J$37/100)</f>
        <v>552.3820179797506</v>
      </c>
      <c r="D45" s="142">
        <f>C45+C45*K37/100</f>
        <v>690.4775224746882</v>
      </c>
      <c r="F45" s="154" t="s">
        <v>190</v>
      </c>
      <c r="G45" s="155"/>
      <c r="H45" s="156"/>
      <c r="I45" s="138">
        <f>G$3*(1-(C38-C37)/100)*(1-J37/100)</f>
        <v>1114.2857142857142</v>
      </c>
      <c r="J45" s="142">
        <f>I45+I45*K37/100</f>
        <v>1392.8571428571427</v>
      </c>
    </row>
    <row r="46" spans="2:10" ht="12.75">
      <c r="B46" s="77" t="s">
        <v>303</v>
      </c>
      <c r="C46" s="138">
        <f>G$31*(1-(C39-C37)/100)*(1-J$37/100)</f>
        <v>460.3183483164588</v>
      </c>
      <c r="D46" s="143">
        <f>C46+C46*K37/100</f>
        <v>575.3979353955735</v>
      </c>
      <c r="F46" s="154" t="s">
        <v>303</v>
      </c>
      <c r="G46" s="155"/>
      <c r="H46" s="156"/>
      <c r="I46" s="138">
        <f>G$3*(1-(C39-C37)/100)*(1-J37/100)</f>
        <v>928.5714285714286</v>
      </c>
      <c r="J46" s="142">
        <f>I46+I46*K37/100</f>
        <v>1160.7142857142858</v>
      </c>
    </row>
    <row r="47" spans="2:10" ht="12.75">
      <c r="B47" s="77" t="s">
        <v>308</v>
      </c>
      <c r="C47" s="138">
        <f>G$31*(1-(C40-C37)/100)*(1-J$38/100)</f>
        <v>436.4384487699495</v>
      </c>
      <c r="D47" s="143">
        <f>C47+C47*K38/100</f>
        <v>567.3699834009344</v>
      </c>
      <c r="F47" s="154" t="s">
        <v>308</v>
      </c>
      <c r="G47" s="155"/>
      <c r="H47" s="156"/>
      <c r="I47" s="138">
        <f>G$3*(1-(C40-C37)/100)*(1-J38/100)</f>
        <v>880.4</v>
      </c>
      <c r="J47" s="142">
        <f>I47+I47*K38/100</f>
        <v>1144.52</v>
      </c>
    </row>
    <row r="48" spans="2:10" ht="12.75">
      <c r="B48" s="77" t="s">
        <v>309</v>
      </c>
      <c r="C48" s="138">
        <f>G$31*(1-(C40-C37)/100)*(1-J$39/100)</f>
        <v>322.46671515693</v>
      </c>
      <c r="D48" s="143">
        <f>C48+C48*K39/100</f>
        <v>419.206729704009</v>
      </c>
      <c r="F48" s="154" t="s">
        <v>309</v>
      </c>
      <c r="G48" s="155"/>
      <c r="H48" s="156"/>
      <c r="I48" s="138">
        <f>G$3*(1-(C40-C37)/100)*(1-J39/100)</f>
        <v>650.4919464000001</v>
      </c>
      <c r="J48" s="142">
        <f>I48+I48*K39/100</f>
        <v>845.6395303200002</v>
      </c>
    </row>
    <row r="49" spans="2:10" ht="13.5" thickBot="1">
      <c r="B49" s="124" t="s">
        <v>312</v>
      </c>
      <c r="C49" s="139">
        <f>G$31*(1-(C41-C37)/100)*(1-J$40/100)</f>
        <v>567.2538415407437</v>
      </c>
      <c r="D49" s="143">
        <f>C49+C49*K40/100</f>
        <v>623.9792256948181</v>
      </c>
      <c r="F49" s="151" t="s">
        <v>312</v>
      </c>
      <c r="G49" s="144"/>
      <c r="H49" s="180"/>
      <c r="I49" s="139">
        <f>G$3*(1-(C41-C37)/100)*(1-J40/100)</f>
        <v>1144.2857142857142</v>
      </c>
      <c r="J49" s="142">
        <f>I49+I49*K40/100</f>
        <v>1258.7142857142856</v>
      </c>
    </row>
    <row r="50" spans="1:8" ht="12.75">
      <c r="A50" s="114"/>
      <c r="B50" s="109"/>
      <c r="C50" s="109"/>
      <c r="D50" s="109"/>
      <c r="E50" s="109"/>
      <c r="F50" s="54"/>
      <c r="G50" s="54"/>
      <c r="H50" s="54"/>
    </row>
  </sheetData>
  <mergeCells count="37">
    <mergeCell ref="F49:H49"/>
    <mergeCell ref="G36:H36"/>
    <mergeCell ref="G37:H37"/>
    <mergeCell ref="G38:H38"/>
    <mergeCell ref="G39:H39"/>
    <mergeCell ref="G40:H40"/>
    <mergeCell ref="E10:G10"/>
    <mergeCell ref="D3:F3"/>
    <mergeCell ref="E5:G5"/>
    <mergeCell ref="E6:G6"/>
    <mergeCell ref="E7:G7"/>
    <mergeCell ref="E8:G8"/>
    <mergeCell ref="E9:G9"/>
    <mergeCell ref="E11:G11"/>
    <mergeCell ref="B44:C44"/>
    <mergeCell ref="E14:G14"/>
    <mergeCell ref="D16:E16"/>
    <mergeCell ref="E12:G12"/>
    <mergeCell ref="F44:I44"/>
    <mergeCell ref="B36:C36"/>
    <mergeCell ref="D17:E17"/>
    <mergeCell ref="D31:F31"/>
    <mergeCell ref="H9:I9"/>
    <mergeCell ref="H5:I5"/>
    <mergeCell ref="H6:I6"/>
    <mergeCell ref="H7:I7"/>
    <mergeCell ref="H8:I8"/>
    <mergeCell ref="H10:I10"/>
    <mergeCell ref="H12:I12"/>
    <mergeCell ref="H14:I14"/>
    <mergeCell ref="F48:H48"/>
    <mergeCell ref="D26:F26"/>
    <mergeCell ref="D27:F27"/>
    <mergeCell ref="D28:F28"/>
    <mergeCell ref="F45:H45"/>
    <mergeCell ref="F46:H46"/>
    <mergeCell ref="F47:H47"/>
  </mergeCells>
  <printOptions/>
  <pageMargins left="0.3937007874015748" right="0.1968503937007874" top="0.5905511811023623" bottom="0.7874015748031497" header="0.5118110236220472" footer="0.5118110236220472"/>
  <pageSetup fitToHeight="1" fitToWidth="1" orientation="portrait" paperSize="9" scale="62" r:id="rId3"/>
  <legacyDrawing r:id="rId2"/>
</worksheet>
</file>

<file path=xl/worksheets/sheet3.xml><?xml version="1.0" encoding="utf-8"?>
<worksheet xmlns="http://schemas.openxmlformats.org/spreadsheetml/2006/main" xmlns:r="http://schemas.openxmlformats.org/officeDocument/2006/relationships">
  <dimension ref="A1:L84"/>
  <sheetViews>
    <sheetView workbookViewId="0" topLeftCell="A10">
      <selection activeCell="C39" sqref="C39"/>
    </sheetView>
  </sheetViews>
  <sheetFormatPr defaultColWidth="11.421875" defaultRowHeight="12.75"/>
  <cols>
    <col min="1" max="1" width="7.8515625" style="0" customWidth="1"/>
    <col min="2" max="2" width="42.7109375" style="0" customWidth="1"/>
    <col min="3" max="3" width="15.57421875" style="5" customWidth="1"/>
    <col min="4" max="4" width="13.57421875" style="0" customWidth="1"/>
    <col min="5" max="5" width="20.8515625" style="0" customWidth="1"/>
    <col min="6" max="6" width="16.8515625" style="0" customWidth="1"/>
    <col min="7" max="7" width="18.28125" style="0" customWidth="1"/>
    <col min="8" max="8" width="18.57421875" style="0" customWidth="1"/>
    <col min="9" max="9" width="17.00390625" style="0" customWidth="1"/>
    <col min="10" max="10" width="18.7109375" style="0" customWidth="1"/>
    <col min="11" max="11" width="9.140625" style="28" customWidth="1"/>
  </cols>
  <sheetData>
    <row r="1" ht="12.75">
      <c r="B1" s="5"/>
    </row>
    <row r="2" ht="12.75">
      <c r="B2" s="15" t="s">
        <v>1</v>
      </c>
    </row>
    <row r="3" ht="12.75">
      <c r="B3" s="15"/>
    </row>
    <row r="4" spans="2:4" ht="12.75">
      <c r="B4" s="15" t="s">
        <v>52</v>
      </c>
      <c r="D4" t="s">
        <v>53</v>
      </c>
    </row>
    <row r="5" ht="12.75">
      <c r="B5" s="15"/>
    </row>
    <row r="6" ht="12.75">
      <c r="B6" s="15" t="s">
        <v>57</v>
      </c>
    </row>
    <row r="7" ht="12.75">
      <c r="B7" s="15"/>
    </row>
    <row r="8" spans="2:3" ht="13.5" thickBot="1">
      <c r="B8" s="162" t="s">
        <v>62</v>
      </c>
      <c r="C8" s="162"/>
    </row>
    <row r="9" spans="2:11" ht="12.75">
      <c r="B9" s="39" t="s">
        <v>176</v>
      </c>
      <c r="C9" s="100">
        <f>10*9</f>
        <v>90</v>
      </c>
      <c r="D9" s="201" t="s">
        <v>183</v>
      </c>
      <c r="E9" s="202"/>
      <c r="G9" t="s">
        <v>49</v>
      </c>
      <c r="H9" s="5"/>
      <c r="K9" t="s">
        <v>51</v>
      </c>
    </row>
    <row r="10" spans="2:11" ht="12.75">
      <c r="B10" s="40" t="s">
        <v>63</v>
      </c>
      <c r="C10" s="99">
        <f>10*9</f>
        <v>90</v>
      </c>
      <c r="D10" s="182"/>
      <c r="E10" s="203"/>
      <c r="H10" t="s">
        <v>50</v>
      </c>
      <c r="K10"/>
    </row>
    <row r="11" spans="2:11" ht="12.75">
      <c r="B11" s="40" t="s">
        <v>173</v>
      </c>
      <c r="C11" s="99">
        <f>(9+10)*2*2.5-C12</f>
        <v>73.4</v>
      </c>
      <c r="D11" s="182" t="s">
        <v>182</v>
      </c>
      <c r="E11" s="203"/>
      <c r="H11" s="5"/>
      <c r="K11">
        <v>0.5</v>
      </c>
    </row>
    <row r="12" spans="2:11" ht="12.75">
      <c r="B12" s="40" t="s">
        <v>174</v>
      </c>
      <c r="C12" s="99">
        <v>21.6</v>
      </c>
      <c r="D12" s="182"/>
      <c r="E12" s="203"/>
      <c r="H12" s="5"/>
      <c r="K12"/>
    </row>
    <row r="13" spans="2:5" ht="12.75">
      <c r="B13" s="23" t="s">
        <v>146</v>
      </c>
      <c r="C13" s="99">
        <f>12*2+10*2</f>
        <v>44</v>
      </c>
      <c r="D13" s="182" t="s">
        <v>181</v>
      </c>
      <c r="E13" s="203"/>
    </row>
    <row r="14" spans="2:5" ht="12.75">
      <c r="B14" s="23" t="s">
        <v>147</v>
      </c>
      <c r="C14" s="99">
        <f>12*2+10*2</f>
        <v>44</v>
      </c>
      <c r="D14" s="182"/>
      <c r="E14" s="203"/>
    </row>
    <row r="15" spans="2:5" ht="12.75">
      <c r="B15" s="23" t="s">
        <v>184</v>
      </c>
      <c r="C15" s="106">
        <f>0.09*3.14*10</f>
        <v>2.826</v>
      </c>
      <c r="D15" s="187"/>
      <c r="E15" s="188"/>
    </row>
    <row r="16" spans="2:5" ht="13.5" thickBot="1">
      <c r="B16" s="36" t="s">
        <v>154</v>
      </c>
      <c r="C16" s="102">
        <f>C9*2.5</f>
        <v>225</v>
      </c>
      <c r="D16" s="185"/>
      <c r="E16" s="186"/>
    </row>
    <row r="17" ht="12.75">
      <c r="B17" s="15"/>
    </row>
    <row r="18" ht="13.5" thickBot="1">
      <c r="B18" s="15"/>
    </row>
    <row r="19" spans="2:7" ht="16.5" thickBot="1">
      <c r="B19" s="37" t="s">
        <v>148</v>
      </c>
      <c r="E19" s="146" t="s">
        <v>67</v>
      </c>
      <c r="F19" s="146"/>
      <c r="G19" s="35">
        <v>2000</v>
      </c>
    </row>
    <row r="20" ht="13.5" thickBot="1">
      <c r="B20" s="15"/>
    </row>
    <row r="21" spans="3:9" ht="13.5" thickBot="1">
      <c r="C21" s="103" t="s">
        <v>61</v>
      </c>
      <c r="D21" s="104" t="s">
        <v>68</v>
      </c>
      <c r="E21" s="195" t="s">
        <v>66</v>
      </c>
      <c r="F21" s="196"/>
      <c r="G21" s="197"/>
      <c r="H21" s="31"/>
      <c r="I21">
        <f>1/401*(0.5/100)</f>
        <v>1.2468827930174563E-05</v>
      </c>
    </row>
    <row r="22" spans="2:12" ht="12.75">
      <c r="B22" s="39" t="s">
        <v>58</v>
      </c>
      <c r="C22" s="105">
        <f>C36</f>
        <v>101.78571428571428</v>
      </c>
      <c r="D22" s="25">
        <f aca="true" t="shared" si="0" ref="D22:D28">C22/C$29*100</f>
        <v>21.768808871639475</v>
      </c>
      <c r="E22" s="198">
        <f aca="true" t="shared" si="1" ref="E22:E28">(G$19-C$32)*D22/100*0.6</f>
        <v>261.2257064596737</v>
      </c>
      <c r="F22" s="199"/>
      <c r="G22" s="200"/>
      <c r="H22" s="32"/>
      <c r="L22">
        <f>1/401</f>
        <v>0.0024937655860349127</v>
      </c>
    </row>
    <row r="23" spans="2:8" ht="12.75">
      <c r="B23" s="40" t="s">
        <v>149</v>
      </c>
      <c r="C23" s="41">
        <f>C37+C38</f>
        <v>36.13358389603771</v>
      </c>
      <c r="D23" s="34">
        <f t="shared" si="0"/>
        <v>7.727853434051039</v>
      </c>
      <c r="E23" s="163">
        <f t="shared" si="1"/>
        <v>92.73424120861246</v>
      </c>
      <c r="F23" s="164"/>
      <c r="G23" s="165"/>
      <c r="H23" s="32"/>
    </row>
    <row r="24" spans="2:8" ht="12.75">
      <c r="B24" s="40" t="s">
        <v>177</v>
      </c>
      <c r="C24" s="41">
        <f>C39</f>
        <v>188.2051282051282</v>
      </c>
      <c r="D24" s="34">
        <f t="shared" si="0"/>
        <v>40.25124245883352</v>
      </c>
      <c r="E24" s="163">
        <f t="shared" si="1"/>
        <v>483.0149095060022</v>
      </c>
      <c r="F24" s="164"/>
      <c r="G24" s="165"/>
      <c r="H24" s="32"/>
    </row>
    <row r="25" spans="2:9" ht="12.75">
      <c r="B25" s="40" t="s">
        <v>178</v>
      </c>
      <c r="C25" s="41">
        <f>C40</f>
        <v>30.24</v>
      </c>
      <c r="D25" s="34">
        <f t="shared" si="0"/>
        <v>6.467398543085816</v>
      </c>
      <c r="E25" s="163">
        <f t="shared" si="1"/>
        <v>77.60878251702978</v>
      </c>
      <c r="F25" s="164"/>
      <c r="G25" s="165"/>
      <c r="H25" s="32"/>
      <c r="I25">
        <f>0.09*3.14*10</f>
        <v>2.826</v>
      </c>
    </row>
    <row r="26" spans="2:8" ht="12.75">
      <c r="B26" s="23" t="s">
        <v>153</v>
      </c>
      <c r="C26" s="41">
        <f>C42+C43</f>
        <v>26.4</v>
      </c>
      <c r="D26" s="34">
        <f t="shared" si="0"/>
        <v>5.646141585233649</v>
      </c>
      <c r="E26" s="163">
        <f t="shared" si="1"/>
        <v>67.75369902280379</v>
      </c>
      <c r="F26" s="164"/>
      <c r="G26" s="165"/>
      <c r="H26" s="32"/>
    </row>
    <row r="27" spans="2:8" ht="12.75">
      <c r="B27" s="23" t="s">
        <v>184</v>
      </c>
      <c r="C27" s="41">
        <f>C41</f>
        <v>8.311520859003696</v>
      </c>
      <c r="D27" s="34">
        <f t="shared" si="0"/>
        <v>1.7775766499453665</v>
      </c>
      <c r="E27" s="163">
        <f t="shared" si="1"/>
        <v>21.330919799344397</v>
      </c>
      <c r="F27" s="164"/>
      <c r="G27" s="165"/>
      <c r="H27" s="32"/>
    </row>
    <row r="28" spans="2:8" ht="13.5" thickBot="1">
      <c r="B28" s="23" t="s">
        <v>155</v>
      </c>
      <c r="C28" s="41">
        <f>0.34*C16</f>
        <v>76.5</v>
      </c>
      <c r="D28" s="34">
        <f t="shared" si="0"/>
        <v>16.360978457211143</v>
      </c>
      <c r="E28" s="163">
        <f t="shared" si="1"/>
        <v>196.33174148653367</v>
      </c>
      <c r="F28" s="164"/>
      <c r="G28" s="165"/>
      <c r="H28" s="32"/>
    </row>
    <row r="29" spans="2:8" ht="13.5" thickBot="1">
      <c r="B29" s="74" t="s">
        <v>59</v>
      </c>
      <c r="C29" s="75">
        <f>SUM(C22:C28)</f>
        <v>467.57594724588387</v>
      </c>
      <c r="D29" s="46">
        <f>SUM(D22:D28)</f>
        <v>100.00000000000001</v>
      </c>
      <c r="E29" s="205">
        <f>SUM(E22:E28)</f>
        <v>1200</v>
      </c>
      <c r="F29" s="206"/>
      <c r="G29" s="207"/>
      <c r="H29" s="33"/>
    </row>
    <row r="30" spans="2:8" ht="13.5" thickBot="1">
      <c r="B30" s="50"/>
      <c r="C30" s="51"/>
      <c r="D30" s="51"/>
      <c r="E30" s="51"/>
      <c r="F30" s="51"/>
      <c r="G30" s="51"/>
      <c r="H30" s="33"/>
    </row>
    <row r="31" spans="2:8" ht="13.5" thickBot="1">
      <c r="B31" s="52" t="s">
        <v>156</v>
      </c>
      <c r="C31" s="57">
        <v>60</v>
      </c>
      <c r="D31" s="171" t="s">
        <v>158</v>
      </c>
      <c r="E31" s="172"/>
      <c r="F31" s="53">
        <f>(G19-C32)*(100-C31)/100</f>
        <v>800</v>
      </c>
      <c r="G31" s="51"/>
      <c r="H31" s="33"/>
    </row>
    <row r="32" spans="2:8" ht="13.5" thickBot="1">
      <c r="B32" s="55" t="s">
        <v>157</v>
      </c>
      <c r="C32" s="56">
        <v>0</v>
      </c>
      <c r="D32" s="51"/>
      <c r="E32" s="51"/>
      <c r="F32" s="51"/>
      <c r="G32" s="51"/>
      <c r="H32" s="33"/>
    </row>
    <row r="33" ht="12.75">
      <c r="B33" s="15"/>
    </row>
    <row r="34" spans="1:2" ht="12.75">
      <c r="A34" s="6" t="s">
        <v>69</v>
      </c>
      <c r="B34" s="15"/>
    </row>
    <row r="35" spans="2:11" s="17" customFormat="1" ht="13.5" thickBot="1">
      <c r="B35" s="17" t="s">
        <v>47</v>
      </c>
      <c r="C35" s="21" t="s">
        <v>60</v>
      </c>
      <c r="D35" s="17" t="s">
        <v>38</v>
      </c>
      <c r="E35" s="17" t="s">
        <v>54</v>
      </c>
      <c r="F35" s="204" t="s">
        <v>70</v>
      </c>
      <c r="G35" s="204"/>
      <c r="H35" s="204"/>
      <c r="I35" s="17" t="s">
        <v>55</v>
      </c>
      <c r="J35" s="29" t="s">
        <v>48</v>
      </c>
      <c r="K35" s="17" t="s">
        <v>56</v>
      </c>
    </row>
    <row r="36" spans="2:11" s="27" customFormat="1" ht="12.75">
      <c r="B36" s="39" t="s">
        <v>151</v>
      </c>
      <c r="C36" s="5">
        <f aca="true" t="shared" si="2" ref="C36:C41">J36*D36</f>
        <v>101.78571428571428</v>
      </c>
      <c r="D36" s="42">
        <f>C9</f>
        <v>90</v>
      </c>
      <c r="E36" s="30">
        <v>0.18</v>
      </c>
      <c r="F36" s="140">
        <v>0.03</v>
      </c>
      <c r="G36" s="140">
        <v>0.13</v>
      </c>
      <c r="H36" s="140">
        <v>0.5</v>
      </c>
      <c r="I36">
        <f>SUM(F36:H36)</f>
        <v>0.66</v>
      </c>
      <c r="J36" s="28">
        <f>1/(I36+E36)*K36</f>
        <v>1.130952380952381</v>
      </c>
      <c r="K36" s="27">
        <v>0.95</v>
      </c>
    </row>
    <row r="37" spans="2:11" s="27" customFormat="1" ht="12.75">
      <c r="B37" s="40" t="s">
        <v>179</v>
      </c>
      <c r="C37" s="5">
        <f t="shared" si="2"/>
        <v>7.410179640718563</v>
      </c>
      <c r="D37" s="42">
        <f>C10/4</f>
        <v>22.5</v>
      </c>
      <c r="E37" s="30">
        <v>0.34</v>
      </c>
      <c r="F37" s="140">
        <v>0.13</v>
      </c>
      <c r="G37" s="140">
        <v>1.2</v>
      </c>
      <c r="H37" s="140"/>
      <c r="I37">
        <f>SUM(F37:H37)</f>
        <v>1.33</v>
      </c>
      <c r="J37" s="28">
        <f>1/(I37+E37)*K37</f>
        <v>0.32934131736526945</v>
      </c>
      <c r="K37" s="27">
        <v>0.55</v>
      </c>
    </row>
    <row r="38" spans="2:11" s="27" customFormat="1" ht="12.75">
      <c r="B38" s="40" t="s">
        <v>180</v>
      </c>
      <c r="C38" s="5">
        <f t="shared" si="2"/>
        <v>28.72340425531915</v>
      </c>
      <c r="D38" s="42">
        <f>C10/4*3</f>
        <v>67.5</v>
      </c>
      <c r="E38" s="30">
        <v>0.34</v>
      </c>
      <c r="F38" s="140">
        <v>0.13</v>
      </c>
      <c r="G38" s="140"/>
      <c r="H38" s="140"/>
      <c r="I38">
        <f>SUM(F38:H38)</f>
        <v>0.13</v>
      </c>
      <c r="J38" s="28">
        <f>1/(I38+E38)*K38</f>
        <v>0.425531914893617</v>
      </c>
      <c r="K38" s="27">
        <v>0.2</v>
      </c>
    </row>
    <row r="39" spans="1:11" ht="12.75">
      <c r="A39" s="17"/>
      <c r="B39" s="40" t="s">
        <v>150</v>
      </c>
      <c r="C39" s="5">
        <f t="shared" si="2"/>
        <v>188.2051282051282</v>
      </c>
      <c r="D39" s="26">
        <f>C11</f>
        <v>73.4</v>
      </c>
      <c r="E39">
        <v>0.17</v>
      </c>
      <c r="F39" s="140">
        <v>0.19</v>
      </c>
      <c r="G39" s="140">
        <v>0.03</v>
      </c>
      <c r="H39" s="140" t="s">
        <v>64</v>
      </c>
      <c r="I39">
        <f>SUM(F39:H39)</f>
        <v>0.22</v>
      </c>
      <c r="J39" s="28">
        <f>1/(I39+E39)*K39</f>
        <v>2.564102564102564</v>
      </c>
      <c r="K39">
        <v>1</v>
      </c>
    </row>
    <row r="40" spans="2:11" ht="12.75">
      <c r="B40" s="40" t="s">
        <v>145</v>
      </c>
      <c r="C40" s="5">
        <f t="shared" si="2"/>
        <v>30.24</v>
      </c>
      <c r="D40" s="44">
        <f>C12</f>
        <v>21.6</v>
      </c>
      <c r="I40">
        <f>SUM(F40:H40)</f>
        <v>0</v>
      </c>
      <c r="J40" s="28">
        <v>1.4</v>
      </c>
      <c r="K40"/>
    </row>
    <row r="41" spans="2:11" ht="12.75">
      <c r="B41" s="23" t="s">
        <v>184</v>
      </c>
      <c r="C41" s="5">
        <f t="shared" si="2"/>
        <v>8.311520859003696</v>
      </c>
      <c r="D41" s="44">
        <f>C15</f>
        <v>2.826</v>
      </c>
      <c r="E41" s="30">
        <v>0.34</v>
      </c>
      <c r="I41" s="107">
        <f>1/401*0.4/100</f>
        <v>9.97506234413965E-06</v>
      </c>
      <c r="J41" s="28">
        <f>1/(I41+E41)*K41</f>
        <v>2.9410901836531127</v>
      </c>
      <c r="K41" s="28">
        <v>1</v>
      </c>
    </row>
    <row r="42" spans="2:10" ht="13.5" thickBot="1">
      <c r="B42" s="36" t="s">
        <v>146</v>
      </c>
      <c r="C42" s="22">
        <f>0.1*D42</f>
        <v>4.4</v>
      </c>
      <c r="D42" s="44">
        <f>C13</f>
        <v>44</v>
      </c>
      <c r="F42" s="43"/>
      <c r="I42" s="19"/>
      <c r="J42" s="28"/>
    </row>
    <row r="43" spans="2:10" ht="13.5" thickBot="1">
      <c r="B43" s="36" t="s">
        <v>147</v>
      </c>
      <c r="C43" s="22">
        <f>0.5*D43</f>
        <v>22</v>
      </c>
      <c r="D43" s="44">
        <f>C14</f>
        <v>44</v>
      </c>
      <c r="F43" s="43"/>
      <c r="I43" s="19"/>
      <c r="J43" s="28"/>
    </row>
    <row r="44" spans="2:10" ht="12.75">
      <c r="B44" s="38"/>
      <c r="C44" s="22"/>
      <c r="F44" s="43"/>
      <c r="I44" s="19"/>
      <c r="J44" s="28"/>
    </row>
    <row r="45" spans="2:6" ht="12.75">
      <c r="B45" s="20"/>
      <c r="C45" s="22">
        <f>SUM(C36:C43)</f>
        <v>391.07594724588387</v>
      </c>
      <c r="F45" s="5"/>
    </row>
    <row r="46" spans="2:3" ht="12.75">
      <c r="B46" s="20"/>
      <c r="C46" s="22"/>
    </row>
    <row r="47" spans="2:11" s="43" customFormat="1" ht="15.75">
      <c r="B47" s="82"/>
      <c r="C47" s="83"/>
      <c r="K47" s="84"/>
    </row>
    <row r="48" spans="2:11" s="43" customFormat="1" ht="12" customHeight="1">
      <c r="B48" s="82"/>
      <c r="C48" s="194"/>
      <c r="D48" s="194"/>
      <c r="E48" s="85"/>
      <c r="F48" s="85"/>
      <c r="G48" s="85"/>
      <c r="K48" s="84"/>
    </row>
    <row r="49" spans="2:11" s="43" customFormat="1" ht="12.75">
      <c r="B49" s="86"/>
      <c r="C49" s="194"/>
      <c r="D49" s="194"/>
      <c r="E49" s="85"/>
      <c r="F49" s="87"/>
      <c r="G49" s="88"/>
      <c r="K49" s="84"/>
    </row>
    <row r="50" spans="2:11" s="43" customFormat="1" ht="12.75">
      <c r="B50" s="86"/>
      <c r="C50" s="194"/>
      <c r="D50" s="194"/>
      <c r="E50" s="85"/>
      <c r="F50" s="85"/>
      <c r="G50" s="88"/>
      <c r="K50" s="84"/>
    </row>
    <row r="51" spans="2:11" s="43" customFormat="1" ht="12.75">
      <c r="B51" s="86"/>
      <c r="C51" s="194"/>
      <c r="D51" s="194"/>
      <c r="E51" s="85"/>
      <c r="F51" s="85"/>
      <c r="G51" s="88"/>
      <c r="K51" s="84"/>
    </row>
    <row r="52" spans="2:11" s="43" customFormat="1" ht="12.75">
      <c r="B52" s="81"/>
      <c r="C52" s="83"/>
      <c r="K52" s="84"/>
    </row>
    <row r="53" spans="3:11" s="43" customFormat="1" ht="12.75">
      <c r="C53" s="31"/>
      <c r="D53" s="31"/>
      <c r="E53" s="86"/>
      <c r="F53" s="31"/>
      <c r="G53" s="31"/>
      <c r="H53" s="192"/>
      <c r="I53" s="192"/>
      <c r="K53" s="84"/>
    </row>
    <row r="54" spans="2:11" s="43" customFormat="1" ht="12.75">
      <c r="B54" s="86"/>
      <c r="C54" s="31"/>
      <c r="D54" s="31"/>
      <c r="E54" s="89"/>
      <c r="F54" s="89"/>
      <c r="G54" s="89"/>
      <c r="H54" s="193"/>
      <c r="I54" s="193"/>
      <c r="K54" s="84"/>
    </row>
    <row r="55" spans="2:11" s="43" customFormat="1" ht="12.75">
      <c r="B55" s="86"/>
      <c r="C55" s="31"/>
      <c r="D55" s="31"/>
      <c r="E55" s="89"/>
      <c r="F55" s="89"/>
      <c r="G55" s="89"/>
      <c r="H55" s="193"/>
      <c r="I55" s="193"/>
      <c r="K55" s="84"/>
    </row>
    <row r="56" spans="2:11" s="43" customFormat="1" ht="12.75">
      <c r="B56" s="86"/>
      <c r="C56" s="31"/>
      <c r="D56" s="31"/>
      <c r="E56" s="89"/>
      <c r="F56" s="89"/>
      <c r="G56" s="89"/>
      <c r="H56" s="193"/>
      <c r="I56" s="193"/>
      <c r="K56" s="84"/>
    </row>
    <row r="57" spans="2:11" s="43" customFormat="1" ht="12.75">
      <c r="B57" s="86"/>
      <c r="C57" s="31"/>
      <c r="D57" s="31"/>
      <c r="E57" s="89"/>
      <c r="F57" s="89"/>
      <c r="G57" s="89"/>
      <c r="H57" s="193"/>
      <c r="I57" s="193"/>
      <c r="K57" s="84"/>
    </row>
    <row r="58" spans="2:11" s="43" customFormat="1" ht="12.75">
      <c r="B58" s="86"/>
      <c r="C58" s="31"/>
      <c r="D58" s="31"/>
      <c r="E58" s="89"/>
      <c r="F58" s="89"/>
      <c r="G58" s="89"/>
      <c r="H58" s="193"/>
      <c r="I58" s="193"/>
      <c r="K58" s="84"/>
    </row>
    <row r="59" spans="2:11" s="43" customFormat="1" ht="12.75">
      <c r="B59" s="86"/>
      <c r="C59" s="31"/>
      <c r="D59" s="31"/>
      <c r="E59" s="89"/>
      <c r="F59" s="89"/>
      <c r="G59" s="89"/>
      <c r="H59" s="193"/>
      <c r="I59" s="193"/>
      <c r="K59" s="84"/>
    </row>
    <row r="60" spans="2:11" s="43" customFormat="1" ht="12.75">
      <c r="B60" s="86"/>
      <c r="C60" s="31"/>
      <c r="D60" s="31"/>
      <c r="E60" s="89"/>
      <c r="F60" s="89"/>
      <c r="G60" s="89"/>
      <c r="H60" s="193"/>
      <c r="I60" s="193"/>
      <c r="K60" s="84"/>
    </row>
    <row r="61" spans="2:11" s="43" customFormat="1" ht="12.75">
      <c r="B61" s="90"/>
      <c r="C61" s="91"/>
      <c r="D61" s="32"/>
      <c r="E61" s="33"/>
      <c r="F61" s="33"/>
      <c r="H61" s="33"/>
      <c r="K61" s="84"/>
    </row>
    <row r="62" spans="3:11" s="43" customFormat="1" ht="12.75">
      <c r="C62" s="33"/>
      <c r="E62" s="33"/>
      <c r="F62" s="33"/>
      <c r="G62" s="33"/>
      <c r="H62" s="33"/>
      <c r="I62" s="33"/>
      <c r="J62" s="33"/>
      <c r="K62" s="84"/>
    </row>
    <row r="63" spans="1:11" s="43" customFormat="1" ht="12.75">
      <c r="A63" s="86"/>
      <c r="B63" s="32"/>
      <c r="C63" s="33"/>
      <c r="K63" s="84"/>
    </row>
    <row r="64" spans="3:10" s="92" customFormat="1" ht="12.75">
      <c r="C64" s="31"/>
      <c r="F64" s="191"/>
      <c r="G64" s="191"/>
      <c r="H64" s="191"/>
      <c r="J64" s="93"/>
    </row>
    <row r="65" spans="2:10" s="94" customFormat="1" ht="12.75">
      <c r="B65" s="95"/>
      <c r="C65" s="33"/>
      <c r="D65" s="96"/>
      <c r="E65" s="96"/>
      <c r="F65" s="43"/>
      <c r="G65" s="33"/>
      <c r="H65" s="43"/>
      <c r="I65" s="33"/>
      <c r="J65" s="84"/>
    </row>
    <row r="66" spans="1:10" s="43" customFormat="1" ht="12.75">
      <c r="A66" s="85"/>
      <c r="C66" s="33"/>
      <c r="G66" s="33"/>
      <c r="I66" s="33"/>
      <c r="J66" s="84"/>
    </row>
    <row r="67" spans="1:10" s="43" customFormat="1" ht="12.75">
      <c r="A67" s="92"/>
      <c r="C67" s="33"/>
      <c r="D67" s="97"/>
      <c r="F67" s="33"/>
      <c r="I67" s="33"/>
      <c r="J67" s="84"/>
    </row>
    <row r="68" spans="3:10" s="43" customFormat="1" ht="12.75">
      <c r="C68" s="33"/>
      <c r="I68" s="33"/>
      <c r="J68" s="84"/>
    </row>
    <row r="69" spans="2:10" s="43" customFormat="1" ht="12.75">
      <c r="B69" s="81"/>
      <c r="C69" s="33"/>
      <c r="I69" s="33"/>
      <c r="J69" s="84"/>
    </row>
    <row r="70" spans="2:10" s="43" customFormat="1" ht="12.75">
      <c r="B70" s="81"/>
      <c r="C70" s="33"/>
      <c r="J70" s="84"/>
    </row>
    <row r="71" spans="2:10" s="43" customFormat="1" ht="12.75">
      <c r="B71" s="81"/>
      <c r="C71" s="33"/>
      <c r="J71" s="84"/>
    </row>
    <row r="72" spans="2:11" s="43" customFormat="1" ht="12.75">
      <c r="B72" s="81"/>
      <c r="C72" s="83"/>
      <c r="I72" s="81"/>
      <c r="J72" s="84"/>
      <c r="K72" s="84"/>
    </row>
    <row r="73" spans="3:11" s="43" customFormat="1" ht="12.75">
      <c r="C73" s="33"/>
      <c r="K73" s="84"/>
    </row>
    <row r="74" spans="3:11" s="43" customFormat="1" ht="12.75">
      <c r="C74" s="33"/>
      <c r="K74" s="84"/>
    </row>
    <row r="75" spans="3:11" s="43" customFormat="1" ht="12.75">
      <c r="C75" s="33"/>
      <c r="K75" s="84"/>
    </row>
    <row r="76" spans="2:11" s="43" customFormat="1" ht="15.75">
      <c r="B76" s="98"/>
      <c r="C76" s="33"/>
      <c r="K76" s="84"/>
    </row>
    <row r="77" spans="3:11" s="43" customFormat="1" ht="12.75">
      <c r="C77" s="33"/>
      <c r="K77" s="84"/>
    </row>
    <row r="78" spans="2:11" s="43" customFormat="1" ht="18" customHeight="1">
      <c r="B78" s="190"/>
      <c r="C78" s="190"/>
      <c r="D78" s="190"/>
      <c r="E78" s="190"/>
      <c r="F78" s="190"/>
      <c r="G78" s="190"/>
      <c r="H78" s="190"/>
      <c r="I78" s="190"/>
      <c r="J78" s="190"/>
      <c r="K78" s="84"/>
    </row>
    <row r="79" spans="2:11" s="43" customFormat="1" ht="18" customHeight="1">
      <c r="B79" s="190"/>
      <c r="C79" s="190"/>
      <c r="D79" s="190"/>
      <c r="E79" s="190"/>
      <c r="F79" s="190"/>
      <c r="G79" s="190"/>
      <c r="H79" s="190"/>
      <c r="I79" s="190"/>
      <c r="J79" s="190"/>
      <c r="K79" s="84"/>
    </row>
    <row r="80" spans="2:11" s="43" customFormat="1" ht="18" customHeight="1">
      <c r="B80" s="189"/>
      <c r="C80" s="189"/>
      <c r="D80" s="189"/>
      <c r="E80" s="189"/>
      <c r="F80" s="189"/>
      <c r="G80" s="189"/>
      <c r="H80" s="189"/>
      <c r="I80" s="189"/>
      <c r="K80" s="84"/>
    </row>
    <row r="81" spans="2:11" s="43" customFormat="1" ht="18" customHeight="1">
      <c r="B81" s="189"/>
      <c r="C81" s="189"/>
      <c r="D81" s="189"/>
      <c r="E81" s="189"/>
      <c r="F81" s="189"/>
      <c r="G81" s="189"/>
      <c r="H81" s="189"/>
      <c r="I81" s="189"/>
      <c r="K81" s="84"/>
    </row>
    <row r="82" spans="3:11" s="43" customFormat="1" ht="12.75">
      <c r="C82" s="33"/>
      <c r="K82" s="84"/>
    </row>
    <row r="83" spans="3:11" s="43" customFormat="1" ht="12.75">
      <c r="C83" s="33"/>
      <c r="K83" s="84"/>
    </row>
    <row r="84" spans="3:11" s="43" customFormat="1" ht="12.75">
      <c r="C84" s="33"/>
      <c r="K84" s="84"/>
    </row>
  </sheetData>
  <mergeCells count="38">
    <mergeCell ref="F35:H35"/>
    <mergeCell ref="E26:G26"/>
    <mergeCell ref="E19:F19"/>
    <mergeCell ref="E23:G23"/>
    <mergeCell ref="E28:G28"/>
    <mergeCell ref="D31:E31"/>
    <mergeCell ref="E29:G29"/>
    <mergeCell ref="E25:G25"/>
    <mergeCell ref="E27:G27"/>
    <mergeCell ref="B8:C8"/>
    <mergeCell ref="E21:G21"/>
    <mergeCell ref="E22:G22"/>
    <mergeCell ref="E24:G24"/>
    <mergeCell ref="D9:E9"/>
    <mergeCell ref="D10:E10"/>
    <mergeCell ref="D11:E11"/>
    <mergeCell ref="D12:E12"/>
    <mergeCell ref="D13:E13"/>
    <mergeCell ref="D14:E14"/>
    <mergeCell ref="C48:D48"/>
    <mergeCell ref="C49:D49"/>
    <mergeCell ref="C50:D50"/>
    <mergeCell ref="C51:D51"/>
    <mergeCell ref="H56:I56"/>
    <mergeCell ref="H57:I57"/>
    <mergeCell ref="H58:I58"/>
    <mergeCell ref="H60:I60"/>
    <mergeCell ref="H59:I59"/>
    <mergeCell ref="D16:E16"/>
    <mergeCell ref="D15:E15"/>
    <mergeCell ref="B81:I81"/>
    <mergeCell ref="B78:J78"/>
    <mergeCell ref="B79:J79"/>
    <mergeCell ref="B80:I80"/>
    <mergeCell ref="F64:H64"/>
    <mergeCell ref="H53:I53"/>
    <mergeCell ref="H54:I54"/>
    <mergeCell ref="H55:I55"/>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3:H41"/>
  <sheetViews>
    <sheetView workbookViewId="0" topLeftCell="A1">
      <selection activeCell="E15" sqref="E15"/>
    </sheetView>
  </sheetViews>
  <sheetFormatPr defaultColWidth="11.421875" defaultRowHeight="12.75"/>
  <cols>
    <col min="2" max="2" width="36.421875" style="0" customWidth="1"/>
    <col min="3" max="3" width="22.00390625" style="0" customWidth="1"/>
    <col min="4" max="4" width="15.57421875" style="0" customWidth="1"/>
    <col min="5" max="5" width="15.8515625" style="44" customWidth="1"/>
    <col min="6" max="6" width="14.7109375" style="0" customWidth="1"/>
    <col min="7" max="7" width="17.421875" style="0" customWidth="1"/>
    <col min="8" max="8" width="19.421875" style="0" customWidth="1"/>
  </cols>
  <sheetData>
    <row r="3" ht="12.75">
      <c r="E3" s="44" t="s">
        <v>65</v>
      </c>
    </row>
    <row r="4" spans="2:8" ht="12.75">
      <c r="B4" s="6" t="s">
        <v>175</v>
      </c>
      <c r="C4" s="6">
        <v>1380</v>
      </c>
      <c r="D4" s="6">
        <v>1450</v>
      </c>
      <c r="E4" s="78">
        <f>(D4*C4)/1000000</f>
        <v>2.001</v>
      </c>
      <c r="F4" s="6"/>
      <c r="G4" s="6"/>
      <c r="H4" s="17"/>
    </row>
    <row r="5" spans="3:5" ht="12.75">
      <c r="C5" s="6">
        <v>1380</v>
      </c>
      <c r="D5" s="6">
        <v>1450</v>
      </c>
      <c r="E5" s="78">
        <f aca="true" t="shared" si="0" ref="E5:E13">(D5*C5)/1000000</f>
        <v>2.001</v>
      </c>
    </row>
    <row r="6" spans="3:5" ht="12.75">
      <c r="C6" s="6">
        <v>1380</v>
      </c>
      <c r="D6" s="6">
        <v>1450</v>
      </c>
      <c r="E6" s="78">
        <f t="shared" si="0"/>
        <v>2.001</v>
      </c>
    </row>
    <row r="7" spans="3:5" ht="12.75">
      <c r="C7" s="6">
        <v>1880</v>
      </c>
      <c r="D7" s="6">
        <v>2290</v>
      </c>
      <c r="E7" s="78">
        <f t="shared" si="0"/>
        <v>4.3052</v>
      </c>
    </row>
    <row r="8" spans="3:5" ht="12.75">
      <c r="C8" s="6">
        <v>1850</v>
      </c>
      <c r="D8" s="6">
        <v>1000</v>
      </c>
      <c r="E8" s="78">
        <f t="shared" si="0"/>
        <v>1.85</v>
      </c>
    </row>
    <row r="9" spans="2:5" ht="12.75">
      <c r="B9" s="6"/>
      <c r="C9" s="6">
        <v>1650</v>
      </c>
      <c r="D9" s="6">
        <v>1300</v>
      </c>
      <c r="E9" s="78">
        <f t="shared" si="0"/>
        <v>2.145</v>
      </c>
    </row>
    <row r="10" spans="3:5" ht="12.75">
      <c r="C10" s="6">
        <v>585</v>
      </c>
      <c r="D10" s="6">
        <v>1010</v>
      </c>
      <c r="E10" s="78">
        <f t="shared" si="0"/>
        <v>0.59085</v>
      </c>
    </row>
    <row r="11" spans="3:5" ht="12.75">
      <c r="C11" s="6">
        <v>1150</v>
      </c>
      <c r="D11" s="6">
        <v>1010</v>
      </c>
      <c r="E11" s="78">
        <f t="shared" si="0"/>
        <v>1.1615</v>
      </c>
    </row>
    <row r="12" spans="3:5" ht="12.75">
      <c r="C12" s="6">
        <v>1450</v>
      </c>
      <c r="D12" s="6">
        <v>2300</v>
      </c>
      <c r="E12" s="78">
        <f t="shared" si="0"/>
        <v>3.335</v>
      </c>
    </row>
    <row r="13" spans="3:5" ht="12.75">
      <c r="C13" s="6">
        <v>985</v>
      </c>
      <c r="D13" s="6">
        <v>2290</v>
      </c>
      <c r="E13" s="78">
        <f t="shared" si="0"/>
        <v>2.25565</v>
      </c>
    </row>
    <row r="14" ht="12.75">
      <c r="B14" s="6"/>
    </row>
    <row r="15" ht="12.75">
      <c r="E15" s="44">
        <f>SUM(E4:E14)</f>
        <v>21.646199999999997</v>
      </c>
    </row>
    <row r="26" spans="2:4" ht="12.75">
      <c r="B26" s="6"/>
      <c r="C26" s="6"/>
      <c r="D26" s="6"/>
    </row>
    <row r="36" ht="12.75">
      <c r="B36" s="6"/>
    </row>
    <row r="41" ht="12.75">
      <c r="B41" s="6"/>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6:B162"/>
  <sheetViews>
    <sheetView workbookViewId="0" topLeftCell="A42">
      <selection activeCell="E39" sqref="E39"/>
    </sheetView>
  </sheetViews>
  <sheetFormatPr defaultColWidth="11.421875" defaultRowHeight="12.75"/>
  <cols>
    <col min="2" max="2" width="104.140625" style="0" customWidth="1"/>
  </cols>
  <sheetData>
    <row r="6" ht="12.75">
      <c r="B6" t="s">
        <v>192</v>
      </c>
    </row>
    <row r="7" ht="12.75">
      <c r="B7" t="s">
        <v>193</v>
      </c>
    </row>
    <row r="8" ht="12.75">
      <c r="B8" s="119" t="s">
        <v>194</v>
      </c>
    </row>
    <row r="9" ht="12.75">
      <c r="B9" t="s">
        <v>195</v>
      </c>
    </row>
    <row r="11" ht="12.75">
      <c r="B11" s="119" t="s">
        <v>196</v>
      </c>
    </row>
    <row r="12" ht="12.75">
      <c r="B12" t="s">
        <v>197</v>
      </c>
    </row>
    <row r="13" ht="12.75">
      <c r="B13" t="s">
        <v>198</v>
      </c>
    </row>
    <row r="14" ht="12.75">
      <c r="B14" t="s">
        <v>199</v>
      </c>
    </row>
    <row r="15" ht="12.75">
      <c r="B15" t="s">
        <v>200</v>
      </c>
    </row>
    <row r="18" ht="12.75">
      <c r="B18" s="119" t="s">
        <v>201</v>
      </c>
    </row>
    <row r="19" ht="12.75">
      <c r="B19" t="s">
        <v>202</v>
      </c>
    </row>
    <row r="20" ht="12.75">
      <c r="B20" t="s">
        <v>203</v>
      </c>
    </row>
    <row r="21" ht="12.75">
      <c r="B21" t="s">
        <v>204</v>
      </c>
    </row>
    <row r="23" ht="12.75">
      <c r="B23" s="119" t="s">
        <v>205</v>
      </c>
    </row>
    <row r="24" ht="12.75">
      <c r="B24" t="s">
        <v>206</v>
      </c>
    </row>
    <row r="25" ht="12.75">
      <c r="B25" t="s">
        <v>207</v>
      </c>
    </row>
    <row r="26" ht="12.75">
      <c r="B26" s="119" t="s">
        <v>208</v>
      </c>
    </row>
    <row r="28" ht="12.75">
      <c r="B28" s="119" t="s">
        <v>209</v>
      </c>
    </row>
    <row r="29" ht="12.75">
      <c r="B29" t="s">
        <v>206</v>
      </c>
    </row>
    <row r="30" ht="12.75">
      <c r="B30" t="s">
        <v>210</v>
      </c>
    </row>
    <row r="31" ht="12.75">
      <c r="B31" s="119" t="s">
        <v>211</v>
      </c>
    </row>
    <row r="33" ht="12.75">
      <c r="B33" s="119" t="s">
        <v>212</v>
      </c>
    </row>
    <row r="34" ht="12.75">
      <c r="B34" t="s">
        <v>213</v>
      </c>
    </row>
    <row r="35" ht="12.75">
      <c r="B35" t="s">
        <v>214</v>
      </c>
    </row>
    <row r="36" ht="12.75">
      <c r="B36" t="s">
        <v>215</v>
      </c>
    </row>
    <row r="37" ht="12.75">
      <c r="B37" t="s">
        <v>216</v>
      </c>
    </row>
    <row r="38" ht="12.75">
      <c r="B38" s="119" t="s">
        <v>217</v>
      </c>
    </row>
    <row r="40" ht="12.75">
      <c r="B40" s="119" t="s">
        <v>218</v>
      </c>
    </row>
    <row r="41" ht="12.75">
      <c r="B41" t="s">
        <v>219</v>
      </c>
    </row>
    <row r="42" ht="12.75">
      <c r="B42" t="s">
        <v>220</v>
      </c>
    </row>
    <row r="43" ht="12.75">
      <c r="B43" t="s">
        <v>215</v>
      </c>
    </row>
    <row r="44" ht="12.75">
      <c r="B44" t="s">
        <v>221</v>
      </c>
    </row>
    <row r="45" ht="12.75">
      <c r="B45" t="s">
        <v>216</v>
      </c>
    </row>
    <row r="46" ht="12.75">
      <c r="B46" s="119" t="s">
        <v>222</v>
      </c>
    </row>
    <row r="48" ht="12.75">
      <c r="B48" s="119" t="s">
        <v>223</v>
      </c>
    </row>
    <row r="49" ht="12.75">
      <c r="B49" t="s">
        <v>224</v>
      </c>
    </row>
    <row r="50" ht="12.75">
      <c r="B50" t="s">
        <v>225</v>
      </c>
    </row>
    <row r="51" ht="12.75">
      <c r="B51" t="s">
        <v>226</v>
      </c>
    </row>
    <row r="52" ht="12.75">
      <c r="B52" s="119" t="s">
        <v>227</v>
      </c>
    </row>
    <row r="54" ht="12.75">
      <c r="B54" s="119" t="s">
        <v>228</v>
      </c>
    </row>
    <row r="55" ht="12.75">
      <c r="B55" t="s">
        <v>229</v>
      </c>
    </row>
    <row r="56" ht="12.75">
      <c r="B56" t="s">
        <v>230</v>
      </c>
    </row>
    <row r="57" ht="12.75">
      <c r="B57" t="s">
        <v>226</v>
      </c>
    </row>
    <row r="58" ht="12.75">
      <c r="B58" s="119" t="s">
        <v>231</v>
      </c>
    </row>
    <row r="60" ht="12.75">
      <c r="B60" s="119" t="s">
        <v>232</v>
      </c>
    </row>
    <row r="61" ht="12.75">
      <c r="B61" t="s">
        <v>233</v>
      </c>
    </row>
    <row r="62" ht="12.75">
      <c r="B62" t="s">
        <v>234</v>
      </c>
    </row>
    <row r="63" ht="12.75">
      <c r="B63" t="s">
        <v>235</v>
      </c>
    </row>
    <row r="64" ht="12.75">
      <c r="B64" t="s">
        <v>236</v>
      </c>
    </row>
    <row r="65" ht="12.75">
      <c r="B65" t="s">
        <v>216</v>
      </c>
    </row>
    <row r="66" ht="12.75">
      <c r="B66" s="119" t="s">
        <v>237</v>
      </c>
    </row>
    <row r="68" ht="12.75">
      <c r="B68" s="119" t="s">
        <v>238</v>
      </c>
    </row>
    <row r="69" ht="12.75">
      <c r="B69" t="s">
        <v>239</v>
      </c>
    </row>
    <row r="70" ht="12.75">
      <c r="B70" t="s">
        <v>240</v>
      </c>
    </row>
    <row r="71" ht="12.75">
      <c r="B71" t="s">
        <v>241</v>
      </c>
    </row>
    <row r="72" ht="12.75">
      <c r="B72" s="119" t="s">
        <v>242</v>
      </c>
    </row>
    <row r="74" ht="12.75">
      <c r="B74" s="119" t="s">
        <v>243</v>
      </c>
    </row>
    <row r="75" ht="12.75">
      <c r="B75" t="s">
        <v>244</v>
      </c>
    </row>
    <row r="76" ht="12.75">
      <c r="B76" t="s">
        <v>245</v>
      </c>
    </row>
    <row r="77" ht="12.75">
      <c r="B77" t="s">
        <v>246</v>
      </c>
    </row>
    <row r="78" ht="12.75">
      <c r="B78" t="s">
        <v>247</v>
      </c>
    </row>
    <row r="79" ht="12.75">
      <c r="B79" s="119" t="s">
        <v>248</v>
      </c>
    </row>
    <row r="81" ht="12.75">
      <c r="B81" s="119" t="s">
        <v>249</v>
      </c>
    </row>
    <row r="82" ht="12.75">
      <c r="B82" t="s">
        <v>239</v>
      </c>
    </row>
    <row r="83" ht="12.75">
      <c r="B83" t="s">
        <v>240</v>
      </c>
    </row>
    <row r="84" ht="12.75">
      <c r="B84" t="s">
        <v>250</v>
      </c>
    </row>
    <row r="85" ht="12.75">
      <c r="B85" s="119" t="s">
        <v>251</v>
      </c>
    </row>
    <row r="87" ht="12.75">
      <c r="B87" s="119" t="s">
        <v>252</v>
      </c>
    </row>
    <row r="88" ht="12.75">
      <c r="B88" t="s">
        <v>244</v>
      </c>
    </row>
    <row r="89" ht="12.75">
      <c r="B89" t="s">
        <v>245</v>
      </c>
    </row>
    <row r="90" ht="12.75">
      <c r="B90" t="s">
        <v>246</v>
      </c>
    </row>
    <row r="91" ht="12.75">
      <c r="B91" t="s">
        <v>253</v>
      </c>
    </row>
    <row r="92" ht="12.75">
      <c r="B92" s="119" t="s">
        <v>254</v>
      </c>
    </row>
    <row r="94" ht="12.75">
      <c r="B94" s="119" t="s">
        <v>255</v>
      </c>
    </row>
    <row r="95" ht="12.75">
      <c r="B95" t="s">
        <v>256</v>
      </c>
    </row>
    <row r="96" ht="12.75">
      <c r="B96" t="s">
        <v>257</v>
      </c>
    </row>
    <row r="97" ht="12.75">
      <c r="B97" t="s">
        <v>258</v>
      </c>
    </row>
    <row r="98" ht="12.75">
      <c r="B98" t="s">
        <v>259</v>
      </c>
    </row>
    <row r="99" ht="12.75">
      <c r="B99" s="119" t="s">
        <v>260</v>
      </c>
    </row>
    <row r="101" ht="12.75">
      <c r="B101" s="119" t="s">
        <v>261</v>
      </c>
    </row>
    <row r="102" ht="12.75">
      <c r="B102" t="s">
        <v>262</v>
      </c>
    </row>
    <row r="103" ht="12.75">
      <c r="B103" t="s">
        <v>263</v>
      </c>
    </row>
    <row r="104" ht="12.75">
      <c r="B104" t="s">
        <v>264</v>
      </c>
    </row>
    <row r="105" ht="12.75">
      <c r="B105" t="s">
        <v>216</v>
      </c>
    </row>
    <row r="106" ht="12.75">
      <c r="B106" s="119" t="s">
        <v>265</v>
      </c>
    </row>
    <row r="108" ht="12.75">
      <c r="B108" s="119" t="s">
        <v>266</v>
      </c>
    </row>
    <row r="109" ht="12.75">
      <c r="B109" t="s">
        <v>267</v>
      </c>
    </row>
    <row r="110" ht="12.75">
      <c r="B110" t="s">
        <v>268</v>
      </c>
    </row>
    <row r="111" ht="12.75">
      <c r="B111" t="s">
        <v>269</v>
      </c>
    </row>
    <row r="112" ht="12.75">
      <c r="B112" t="s">
        <v>270</v>
      </c>
    </row>
    <row r="113" ht="12.75">
      <c r="B113" s="119" t="s">
        <v>271</v>
      </c>
    </row>
    <row r="115" ht="12.75">
      <c r="B115" s="119" t="s">
        <v>272</v>
      </c>
    </row>
    <row r="116" ht="12.75">
      <c r="B116" t="s">
        <v>239</v>
      </c>
    </row>
    <row r="117" ht="12.75">
      <c r="B117" t="s">
        <v>273</v>
      </c>
    </row>
    <row r="118" ht="12.75">
      <c r="B118" t="s">
        <v>274</v>
      </c>
    </row>
    <row r="119" ht="12.75">
      <c r="B119" s="119" t="s">
        <v>275</v>
      </c>
    </row>
    <row r="121" ht="12.75">
      <c r="B121" s="119" t="s">
        <v>276</v>
      </c>
    </row>
    <row r="122" ht="12.75">
      <c r="B122" t="s">
        <v>277</v>
      </c>
    </row>
    <row r="123" ht="12.75">
      <c r="B123" t="s">
        <v>278</v>
      </c>
    </row>
    <row r="124" ht="12.75">
      <c r="B124" s="119" t="s">
        <v>265</v>
      </c>
    </row>
    <row r="126" ht="12.75">
      <c r="B126" s="119" t="s">
        <v>279</v>
      </c>
    </row>
    <row r="127" ht="12.75">
      <c r="B127" t="s">
        <v>277</v>
      </c>
    </row>
    <row r="128" ht="12.75">
      <c r="B128" t="s">
        <v>280</v>
      </c>
    </row>
    <row r="129" ht="12.75">
      <c r="B129" s="119" t="s">
        <v>281</v>
      </c>
    </row>
    <row r="131" ht="12.75">
      <c r="B131" s="119" t="s">
        <v>282</v>
      </c>
    </row>
    <row r="132" ht="12.75">
      <c r="B132" t="s">
        <v>283</v>
      </c>
    </row>
    <row r="133" ht="12.75">
      <c r="B133" t="s">
        <v>284</v>
      </c>
    </row>
    <row r="134" ht="12.75">
      <c r="B134" t="s">
        <v>245</v>
      </c>
    </row>
    <row r="135" ht="12.75">
      <c r="B135" t="s">
        <v>285</v>
      </c>
    </row>
    <row r="136" ht="12.75">
      <c r="B136" t="s">
        <v>259</v>
      </c>
    </row>
    <row r="137" ht="12.75">
      <c r="B137" s="119" t="s">
        <v>286</v>
      </c>
    </row>
    <row r="139" ht="12.75">
      <c r="B139" s="119" t="s">
        <v>287</v>
      </c>
    </row>
    <row r="140" ht="12.75">
      <c r="B140" t="s">
        <v>277</v>
      </c>
    </row>
    <row r="141" ht="12.75">
      <c r="B141" t="s">
        <v>288</v>
      </c>
    </row>
    <row r="142" ht="12.75">
      <c r="B142" t="s">
        <v>289</v>
      </c>
    </row>
    <row r="143" ht="12.75">
      <c r="B143" t="s">
        <v>290</v>
      </c>
    </row>
    <row r="144" ht="12.75">
      <c r="B144" s="119" t="s">
        <v>265</v>
      </c>
    </row>
    <row r="146" ht="12.75">
      <c r="B146" s="119" t="s">
        <v>291</v>
      </c>
    </row>
    <row r="147" ht="12.75">
      <c r="B147" t="s">
        <v>206</v>
      </c>
    </row>
    <row r="148" ht="12.75">
      <c r="B148" t="s">
        <v>288</v>
      </c>
    </row>
    <row r="149" ht="12.75">
      <c r="B149" t="s">
        <v>290</v>
      </c>
    </row>
    <row r="150" ht="12.75">
      <c r="B150" s="119" t="s">
        <v>292</v>
      </c>
    </row>
    <row r="152" ht="12.75">
      <c r="B152" t="s">
        <v>293</v>
      </c>
    </row>
    <row r="153" ht="12.75">
      <c r="B153" t="s">
        <v>294</v>
      </c>
    </row>
    <row r="154" ht="12.75">
      <c r="B154" t="s">
        <v>295</v>
      </c>
    </row>
    <row r="155" ht="12.75">
      <c r="B155" t="s">
        <v>296</v>
      </c>
    </row>
    <row r="158" ht="12.75">
      <c r="B158" s="119" t="s">
        <v>297</v>
      </c>
    </row>
    <row r="159" ht="12.75">
      <c r="B159" t="s">
        <v>298</v>
      </c>
    </row>
    <row r="160" ht="12.75">
      <c r="B160" t="s">
        <v>299</v>
      </c>
    </row>
    <row r="161" ht="12.75">
      <c r="B161" s="119"/>
    </row>
    <row r="162" ht="12.75">
      <c r="B162" s="119" t="s">
        <v>300</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3:D78"/>
  <sheetViews>
    <sheetView workbookViewId="0" topLeftCell="A1">
      <selection activeCell="A39" sqref="A39"/>
    </sheetView>
  </sheetViews>
  <sheetFormatPr defaultColWidth="11.421875" defaultRowHeight="12.75"/>
  <cols>
    <col min="1" max="1" width="39.7109375" style="0" customWidth="1"/>
    <col min="2" max="2" width="11.140625" style="5" customWidth="1"/>
  </cols>
  <sheetData>
    <row r="3" ht="20.25">
      <c r="D3" s="16" t="s">
        <v>0</v>
      </c>
    </row>
    <row r="7" ht="12.75">
      <c r="B7" s="15" t="s">
        <v>1</v>
      </c>
    </row>
    <row r="9" spans="1:4" ht="18.75">
      <c r="A9" s="4"/>
      <c r="B9" s="7" t="s">
        <v>38</v>
      </c>
      <c r="C9" s="7" t="s">
        <v>39</v>
      </c>
      <c r="D9" s="8" t="s">
        <v>46</v>
      </c>
    </row>
    <row r="10" spans="1:4" ht="15">
      <c r="A10" s="3" t="s">
        <v>40</v>
      </c>
      <c r="B10" s="9">
        <f>10.76+10.2+10.73+10.38+3.52+4.66</f>
        <v>50.25</v>
      </c>
      <c r="C10" s="9">
        <v>2.5</v>
      </c>
      <c r="D10" s="10"/>
    </row>
    <row r="11" spans="1:4" ht="15">
      <c r="A11" s="3" t="s">
        <v>37</v>
      </c>
      <c r="B11" s="11">
        <f>14.95+11.66+17.48+17.9</f>
        <v>61.99</v>
      </c>
      <c r="C11" s="11">
        <v>2.6</v>
      </c>
      <c r="D11" s="10"/>
    </row>
    <row r="12" spans="1:4" ht="15">
      <c r="A12" s="3" t="s">
        <v>41</v>
      </c>
      <c r="B12" s="11">
        <v>10.51</v>
      </c>
      <c r="C12" s="11">
        <v>2.1</v>
      </c>
      <c r="D12" s="10"/>
    </row>
    <row r="13" spans="1:4" ht="15">
      <c r="A13" s="1" t="s">
        <v>42</v>
      </c>
      <c r="B13" s="12">
        <f>7.66*5</f>
        <v>38.3</v>
      </c>
      <c r="C13" s="12">
        <v>1.5</v>
      </c>
      <c r="D13" s="10"/>
    </row>
    <row r="14" spans="1:4" ht="15">
      <c r="A14" s="1" t="s">
        <v>43</v>
      </c>
      <c r="B14" s="12">
        <f>3.5*2.2</f>
        <v>7.700000000000001</v>
      </c>
      <c r="C14" s="12">
        <v>1.5</v>
      </c>
      <c r="D14" s="10"/>
    </row>
    <row r="15" spans="1:4" ht="15">
      <c r="A15" s="2"/>
      <c r="B15" s="2"/>
      <c r="C15" s="2"/>
      <c r="D15" s="10"/>
    </row>
    <row r="16" spans="1:4" ht="15">
      <c r="A16" s="1" t="s">
        <v>44</v>
      </c>
      <c r="B16" s="13">
        <f>B10*C10+B11*C11+B12*C12+B13*C13+B14*C14</f>
        <v>377.87</v>
      </c>
      <c r="C16" s="2" t="s">
        <v>45</v>
      </c>
      <c r="D16" s="14"/>
    </row>
    <row r="19" ht="15.75">
      <c r="A19" s="4" t="s">
        <v>37</v>
      </c>
    </row>
    <row r="21" spans="1:2" ht="12.75">
      <c r="A21" t="s">
        <v>2</v>
      </c>
      <c r="B21" s="5">
        <v>22.631999999999998</v>
      </c>
    </row>
    <row r="22" spans="1:2" ht="12.75">
      <c r="A22" t="s">
        <v>3</v>
      </c>
      <c r="B22" s="5">
        <v>3.69</v>
      </c>
    </row>
    <row r="23" spans="1:2" ht="12.75">
      <c r="A23" t="s">
        <v>4</v>
      </c>
      <c r="B23" s="5">
        <v>110.83129869251965</v>
      </c>
    </row>
    <row r="24" spans="1:2" ht="12.75">
      <c r="A24" t="s">
        <v>5</v>
      </c>
      <c r="B24" s="5">
        <v>61.99</v>
      </c>
    </row>
    <row r="25" spans="1:2" ht="12.75">
      <c r="A25" t="s">
        <v>6</v>
      </c>
      <c r="B25" s="5">
        <v>50.25</v>
      </c>
    </row>
    <row r="26" spans="1:2" ht="12.75">
      <c r="A26" t="s">
        <v>7</v>
      </c>
      <c r="B26" s="5">
        <v>50.25</v>
      </c>
    </row>
    <row r="28" spans="1:2" ht="12.75">
      <c r="A28" t="s">
        <v>8</v>
      </c>
      <c r="B28" s="5">
        <v>17.28833333333333</v>
      </c>
    </row>
    <row r="29" spans="1:2" ht="12.75">
      <c r="A29" t="s">
        <v>9</v>
      </c>
      <c r="B29" s="5">
        <v>6.429545454545455</v>
      </c>
    </row>
    <row r="30" spans="1:2" ht="12.75">
      <c r="A30" t="s">
        <v>10</v>
      </c>
      <c r="B30" s="5">
        <v>9.194510739856801</v>
      </c>
    </row>
    <row r="31" spans="1:2" ht="12.75">
      <c r="A31" t="s">
        <v>5</v>
      </c>
      <c r="B31" s="5">
        <v>22.843764623303695</v>
      </c>
    </row>
    <row r="32" spans="1:2" ht="12.75">
      <c r="A32" t="s">
        <v>11</v>
      </c>
      <c r="B32" s="5">
        <v>26.418827257242512</v>
      </c>
    </row>
    <row r="33" spans="1:2" ht="12.75">
      <c r="A33" t="s">
        <v>12</v>
      </c>
      <c r="B33" s="5">
        <v>18.7867136</v>
      </c>
    </row>
    <row r="35" spans="1:2" ht="12.75">
      <c r="A35" t="s">
        <v>13</v>
      </c>
      <c r="B35" s="5">
        <v>100.9616950082818</v>
      </c>
    </row>
    <row r="36" spans="1:2" ht="12.75">
      <c r="A36" t="s">
        <v>14</v>
      </c>
      <c r="B36" s="5">
        <v>25.46999034541944</v>
      </c>
    </row>
    <row r="38" ht="12.75">
      <c r="A38" s="6" t="s">
        <v>15</v>
      </c>
    </row>
    <row r="40" spans="1:2" ht="12.75">
      <c r="A40" t="s">
        <v>2</v>
      </c>
      <c r="B40" s="5">
        <v>2.39</v>
      </c>
    </row>
    <row r="41" spans="1:2" ht="12.75">
      <c r="A41" t="s">
        <v>4</v>
      </c>
      <c r="B41" s="5">
        <v>30.131168824543145</v>
      </c>
    </row>
    <row r="42" spans="1:2" ht="12.75">
      <c r="A42" t="s">
        <v>16</v>
      </c>
      <c r="B42" s="5">
        <v>58.789444121833014</v>
      </c>
    </row>
    <row r="44" spans="1:2" ht="12.75">
      <c r="A44" t="s">
        <v>8</v>
      </c>
      <c r="B44" s="5">
        <v>1.825694444444444</v>
      </c>
    </row>
    <row r="45" spans="1:2" ht="12.75">
      <c r="A45" t="s">
        <v>11</v>
      </c>
      <c r="B45" s="5">
        <v>7.182358716582853</v>
      </c>
    </row>
    <row r="46" spans="1:2" ht="12.75">
      <c r="A46" t="s">
        <v>17</v>
      </c>
      <c r="B46" s="5">
        <v>10.807040153181537</v>
      </c>
    </row>
    <row r="47" spans="1:2" ht="12.75">
      <c r="A47" t="s">
        <v>18</v>
      </c>
      <c r="B47" s="5">
        <v>5.1910656</v>
      </c>
    </row>
    <row r="49" spans="1:2" ht="12.75">
      <c r="A49" t="s">
        <v>19</v>
      </c>
      <c r="B49" s="5">
        <v>25.006158914208832</v>
      </c>
    </row>
    <row r="51" ht="12.75">
      <c r="A51" s="6" t="s">
        <v>20</v>
      </c>
    </row>
    <row r="53" spans="1:2" ht="12.75">
      <c r="A53" t="s">
        <v>2</v>
      </c>
      <c r="B53" s="5">
        <v>1.5</v>
      </c>
    </row>
    <row r="54" spans="1:2" ht="12.75">
      <c r="A54" t="s">
        <v>3</v>
      </c>
      <c r="B54" s="5">
        <v>12.036</v>
      </c>
    </row>
    <row r="55" spans="1:2" ht="12.75">
      <c r="A55" t="s">
        <v>21</v>
      </c>
      <c r="B55" s="5">
        <v>34.3451</v>
      </c>
    </row>
    <row r="56" spans="1:2" ht="12.75">
      <c r="A56" t="s">
        <v>22</v>
      </c>
      <c r="B56" s="5">
        <v>45.71939999999999</v>
      </c>
    </row>
    <row r="57" spans="1:2" ht="12.75">
      <c r="A57" t="s">
        <v>23</v>
      </c>
      <c r="B57" s="5">
        <v>87.435</v>
      </c>
    </row>
    <row r="59" spans="1:2" ht="12.75">
      <c r="A59" t="s">
        <v>8</v>
      </c>
      <c r="B59" s="5">
        <v>1.1458333333333333</v>
      </c>
    </row>
    <row r="60" spans="1:2" ht="12.75">
      <c r="A60" t="s">
        <v>9</v>
      </c>
      <c r="B60" s="5">
        <v>69.207</v>
      </c>
    </row>
    <row r="61" spans="1:2" ht="12.75">
      <c r="A61" t="s">
        <v>24</v>
      </c>
      <c r="B61" s="5">
        <v>30.822525641025642</v>
      </c>
    </row>
    <row r="62" spans="1:2" ht="12.75">
      <c r="A62" t="s">
        <v>25</v>
      </c>
      <c r="B62" s="5">
        <v>50.00559374999999</v>
      </c>
    </row>
    <row r="63" spans="1:2" ht="12.75">
      <c r="A63" t="s">
        <v>26</v>
      </c>
      <c r="B63" s="5">
        <v>765.05625</v>
      </c>
    </row>
    <row r="64" spans="1:2" ht="12.75">
      <c r="A64" t="s">
        <v>27</v>
      </c>
      <c r="B64" s="5">
        <v>63.35869565217392</v>
      </c>
    </row>
    <row r="66" spans="1:2" ht="12.75">
      <c r="A66" t="s">
        <v>28</v>
      </c>
      <c r="B66" s="5">
        <v>878.4205394021739</v>
      </c>
    </row>
    <row r="67" spans="1:2" ht="12.75">
      <c r="A67" t="s">
        <v>29</v>
      </c>
      <c r="B67" s="5">
        <v>101.17535897435897</v>
      </c>
    </row>
    <row r="68" spans="1:2" ht="12.75">
      <c r="A68" t="s">
        <v>19</v>
      </c>
      <c r="B68" s="5">
        <v>979.5958983765329</v>
      </c>
    </row>
    <row r="70" ht="12.75">
      <c r="A70" s="6" t="s">
        <v>36</v>
      </c>
    </row>
    <row r="72" spans="1:2" ht="12.75">
      <c r="A72" t="s">
        <v>30</v>
      </c>
      <c r="B72" s="5">
        <v>40.71639401155367</v>
      </c>
    </row>
    <row r="73" spans="1:2" ht="12.75">
      <c r="A73" t="s">
        <v>31</v>
      </c>
      <c r="B73" s="5">
        <v>133.1544</v>
      </c>
    </row>
    <row r="74" spans="1:2" ht="12.75">
      <c r="A74" t="s">
        <v>32</v>
      </c>
      <c r="B74" s="5">
        <v>87.435</v>
      </c>
    </row>
    <row r="76" spans="1:2" ht="12.75">
      <c r="A76" t="s">
        <v>33</v>
      </c>
      <c r="B76" s="5">
        <v>1.4831349206349205</v>
      </c>
    </row>
    <row r="77" spans="1:2" ht="12.75">
      <c r="A77" t="s">
        <v>34</v>
      </c>
      <c r="B77" s="5">
        <v>0.9142857142857144</v>
      </c>
    </row>
    <row r="78" spans="1:2" ht="12.75">
      <c r="A78" t="s">
        <v>35</v>
      </c>
      <c r="B78" s="5">
        <v>1.9729100529100527</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ENIM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PADILLA</dc:creator>
  <cp:keywords/>
  <dc:description/>
  <cp:lastModifiedBy>type</cp:lastModifiedBy>
  <cp:lastPrinted>2007-10-13T08:37:52Z</cp:lastPrinted>
  <dcterms:created xsi:type="dcterms:W3CDTF">2005-01-31T10:17:54Z</dcterms:created>
  <dcterms:modified xsi:type="dcterms:W3CDTF">2007-11-05T18:15:01Z</dcterms:modified>
  <cp:category/>
  <cp:version/>
  <cp:contentType/>
  <cp:contentStatus/>
</cp:coreProperties>
</file>